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34200_Mitarbeiter\StBau\03. KEBB\"/>
    </mc:Choice>
  </mc:AlternateContent>
  <bookViews>
    <workbookView xWindow="3135" yWindow="1935" windowWidth="9720" windowHeight="345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nm._FilterDatabase" localSheetId="0" hidden="1">Tabelle1!$G$71:$M$73</definedName>
    <definedName name="_xlnm.Print_Area" localSheetId="0">Tabelle1!$A$1:$N$135</definedName>
  </definedNames>
  <calcPr calcId="162913"/>
</workbook>
</file>

<file path=xl/calcChain.xml><?xml version="1.0" encoding="utf-8"?>
<calcChain xmlns="http://schemas.openxmlformats.org/spreadsheetml/2006/main">
  <c r="AE30" i="1" l="1"/>
  <c r="H9" i="1"/>
  <c r="M73" i="1"/>
  <c r="AE34" i="1" l="1"/>
  <c r="AE36" i="1" s="1"/>
  <c r="AC77" i="1" s="1"/>
  <c r="AD78" i="1" l="1"/>
  <c r="AD81" i="1"/>
  <c r="AD80" i="1"/>
  <c r="AD79" i="1"/>
  <c r="AD82" i="1"/>
  <c r="C83" i="1"/>
  <c r="C82" i="1"/>
  <c r="C71" i="1"/>
  <c r="C74" i="1"/>
  <c r="AE82" i="1" l="1"/>
  <c r="AF82" i="1"/>
  <c r="AF80" i="1"/>
  <c r="AE80" i="1"/>
  <c r="AE81" i="1"/>
  <c r="AF81" i="1"/>
  <c r="AF79" i="1"/>
  <c r="AE79" i="1"/>
  <c r="AE78" i="1"/>
  <c r="AF78" i="1"/>
  <c r="AC73" i="1"/>
  <c r="X9" i="1"/>
  <c r="M59" i="1"/>
  <c r="U60" i="1"/>
  <c r="U59" i="1"/>
  <c r="K101" i="1"/>
  <c r="S27" i="1"/>
  <c r="C9" i="1"/>
  <c r="W27" i="1"/>
  <c r="V27" i="1"/>
  <c r="U27" i="1"/>
  <c r="T27" i="1"/>
  <c r="H62" i="1"/>
  <c r="S60" i="1"/>
  <c r="S59" i="1"/>
  <c r="W53" i="1"/>
  <c r="AC53" i="1" s="1"/>
  <c r="L81" i="1"/>
  <c r="M54" i="1"/>
  <c r="L87" i="1"/>
  <c r="L72" i="1"/>
  <c r="L80" i="1"/>
  <c r="K83" i="1"/>
  <c r="M83" i="1" s="1"/>
  <c r="K82" i="1"/>
  <c r="M82" i="1" s="1"/>
  <c r="K74" i="1"/>
  <c r="M74" i="1" s="1"/>
  <c r="R50" i="1"/>
  <c r="AI62" i="1"/>
  <c r="W59" i="1"/>
  <c r="R119" i="1"/>
  <c r="R59" i="1"/>
  <c r="AG54" i="1"/>
  <c r="AG55" i="1"/>
  <c r="AG56" i="1"/>
  <c r="AG57" i="1"/>
  <c r="AG58" i="1"/>
  <c r="AG53" i="1"/>
  <c r="R55" i="1"/>
  <c r="R56" i="1"/>
  <c r="R57" i="1"/>
  <c r="R58" i="1"/>
  <c r="R54" i="1"/>
  <c r="K121" i="1"/>
  <c r="U53" i="1"/>
  <c r="T54" i="1"/>
  <c r="T55" i="1"/>
  <c r="T56" i="1"/>
  <c r="T57" i="1"/>
  <c r="T58" i="1"/>
  <c r="T53" i="1"/>
  <c r="W55" i="1"/>
  <c r="W56" i="1"/>
  <c r="W57" i="1"/>
  <c r="W58" i="1"/>
  <c r="AA58" i="1"/>
  <c r="W54" i="1"/>
  <c r="Z54" i="1" s="1"/>
  <c r="M55" i="1"/>
  <c r="M56" i="1"/>
  <c r="M57" i="1"/>
  <c r="M58" i="1"/>
  <c r="M18" i="1"/>
  <c r="X20" i="1" s="1"/>
  <c r="L18" i="1"/>
  <c r="R53" i="1"/>
  <c r="L74" i="1"/>
  <c r="M91" i="1"/>
  <c r="X58" i="1"/>
  <c r="AC58" i="1" s="1"/>
  <c r="AB58" i="1"/>
  <c r="X57" i="1"/>
  <c r="AH57" i="1"/>
  <c r="X56" i="1"/>
  <c r="AC56" i="1" s="1"/>
  <c r="X55" i="1"/>
  <c r="Z55" i="1" s="1"/>
  <c r="S53" i="1"/>
  <c r="L79" i="1"/>
  <c r="X54" i="1"/>
  <c r="AD54" i="1"/>
  <c r="AF54" i="1" s="1"/>
  <c r="X53" i="1"/>
  <c r="AA53" i="1" s="1"/>
  <c r="U54" i="1"/>
  <c r="U55" i="1"/>
  <c r="U56" i="1"/>
  <c r="U57" i="1"/>
  <c r="U58" i="1"/>
  <c r="S54" i="1"/>
  <c r="S55" i="1"/>
  <c r="S56" i="1"/>
  <c r="S57" i="1"/>
  <c r="S58" i="1"/>
  <c r="L64" i="1"/>
  <c r="L55" i="1"/>
  <c r="L56" i="1"/>
  <c r="L78" i="1"/>
  <c r="M60" i="1"/>
  <c r="M53" i="1"/>
  <c r="K118" i="1"/>
  <c r="L89" i="1"/>
  <c r="L88" i="1"/>
  <c r="L86" i="1"/>
  <c r="L83" i="1"/>
  <c r="L82" i="1"/>
  <c r="L77" i="1"/>
  <c r="L73" i="1"/>
  <c r="L71" i="1"/>
  <c r="L54" i="1"/>
  <c r="L57" i="1"/>
  <c r="L58" i="1"/>
  <c r="L59" i="1"/>
  <c r="L60" i="1"/>
  <c r="L91" i="1"/>
  <c r="L53" i="1"/>
  <c r="I102" i="1"/>
  <c r="Y54" i="1"/>
  <c r="Y53" i="1"/>
  <c r="AD58" i="1"/>
  <c r="AF58" i="1" s="1"/>
  <c r="AD57" i="1"/>
  <c r="AF57" i="1" s="1"/>
  <c r="AD53" i="1"/>
  <c r="AF53" i="1" s="1"/>
  <c r="AH54" i="1"/>
  <c r="Q73" i="1"/>
  <c r="AA54" i="1"/>
  <c r="AC54" i="1"/>
  <c r="AB54" i="1"/>
  <c r="Z57" i="1"/>
  <c r="Y57" i="1"/>
  <c r="AA57" i="1"/>
  <c r="K81" i="1"/>
  <c r="Q81" i="1" s="1"/>
  <c r="Y55" i="1" l="1"/>
  <c r="AA55" i="1"/>
  <c r="AB55" i="1"/>
  <c r="AC55" i="1"/>
  <c r="AD55" i="1"/>
  <c r="AF55" i="1" s="1"/>
  <c r="V58" i="1"/>
  <c r="V55" i="1"/>
  <c r="V54" i="1"/>
  <c r="AE54" i="1"/>
  <c r="AH55" i="1"/>
  <c r="V53" i="1"/>
  <c r="V56" i="1"/>
  <c r="AA69" i="1"/>
  <c r="AA70" i="1" s="1"/>
  <c r="Q74" i="1"/>
  <c r="Q83" i="1"/>
  <c r="K89" i="1"/>
  <c r="M89" i="1" s="1"/>
  <c r="Q82" i="1"/>
  <c r="Y58" i="1"/>
  <c r="V57" i="1"/>
  <c r="AB57" i="1"/>
  <c r="AE57" i="1" s="1"/>
  <c r="M64" i="1"/>
  <c r="M115" i="1" s="1"/>
  <c r="Z18" i="1"/>
  <c r="X22" i="1"/>
  <c r="W17" i="1"/>
  <c r="AA17" i="1" s="1"/>
  <c r="Z22" i="1"/>
  <c r="Z53" i="1"/>
  <c r="Z20" i="1"/>
  <c r="AA20" i="1" s="1"/>
  <c r="AH53" i="1"/>
  <c r="X19" i="1"/>
  <c r="AB53" i="1"/>
  <c r="AC57" i="1"/>
  <c r="W18" i="1"/>
  <c r="X18" i="1" s="1"/>
  <c r="Z19" i="1"/>
  <c r="AB56" i="1"/>
  <c r="Z56" i="1"/>
  <c r="Y56" i="1"/>
  <c r="Z58" i="1"/>
  <c r="AE58" i="1" s="1"/>
  <c r="AA56" i="1"/>
  <c r="AH58" i="1"/>
  <c r="AH56" i="1"/>
  <c r="AD56" i="1"/>
  <c r="AF56" i="1" s="1"/>
  <c r="AF62" i="1" s="1"/>
  <c r="K88" i="1" s="1"/>
  <c r="R27" i="1"/>
  <c r="C77" i="1" s="1"/>
  <c r="I77" i="1" l="1"/>
  <c r="T77" i="1"/>
  <c r="AE55" i="1"/>
  <c r="AA64" i="1"/>
  <c r="AC62" i="1"/>
  <c r="K80" i="1" s="1"/>
  <c r="Q80" i="1" s="1"/>
  <c r="K48" i="1"/>
  <c r="C79" i="1"/>
  <c r="I79" i="1" s="1"/>
  <c r="C81" i="1"/>
  <c r="C80" i="1"/>
  <c r="I80" i="1" s="1"/>
  <c r="C78" i="1"/>
  <c r="I78" i="1" s="1"/>
  <c r="Q89" i="1"/>
  <c r="Y62" i="1"/>
  <c r="H45" i="1"/>
  <c r="K71" i="1"/>
  <c r="M71" i="1" s="1"/>
  <c r="AA22" i="1"/>
  <c r="AA18" i="1"/>
  <c r="Q88" i="1"/>
  <c r="M88" i="1"/>
  <c r="AA62" i="1"/>
  <c r="K79" i="1" s="1"/>
  <c r="Q79" i="1" s="1"/>
  <c r="AD62" i="1"/>
  <c r="K77" i="1" s="1"/>
  <c r="AB62" i="1"/>
  <c r="AB64" i="1"/>
  <c r="AE56" i="1"/>
  <c r="AA19" i="1"/>
  <c r="AH62" i="1"/>
  <c r="K87" i="1" s="1"/>
  <c r="AE53" i="1"/>
  <c r="Z62" i="1"/>
  <c r="R24" i="1"/>
  <c r="M24" i="1" s="1"/>
  <c r="K20" i="1" s="1"/>
  <c r="H27" i="1"/>
  <c r="F20" i="1"/>
  <c r="M81" i="1" l="1"/>
  <c r="I81" i="1"/>
  <c r="M80" i="1"/>
  <c r="Q71" i="1"/>
  <c r="M79" i="1"/>
  <c r="AE62" i="1"/>
  <c r="K86" i="1" s="1"/>
  <c r="AA71" i="1"/>
  <c r="G98" i="1" s="1"/>
  <c r="M28" i="1"/>
  <c r="M40" i="1" s="1"/>
  <c r="M42" i="1" s="1"/>
  <c r="M43" i="1" s="1"/>
  <c r="M45" i="1" s="1"/>
  <c r="K127" i="1" s="1"/>
  <c r="Q77" i="1"/>
  <c r="M77" i="1"/>
  <c r="Q87" i="1"/>
  <c r="M87" i="1"/>
  <c r="J43" i="1"/>
  <c r="K78" i="1"/>
  <c r="Q78" i="1" s="1"/>
  <c r="M78" i="1" l="1"/>
  <c r="K72" i="1"/>
  <c r="M72" i="1" s="1"/>
  <c r="K98" i="1"/>
  <c r="M106" i="1" s="1"/>
  <c r="M86" i="1"/>
  <c r="Q86" i="1"/>
  <c r="Q72" i="1" l="1"/>
  <c r="J104" i="1"/>
  <c r="K128" i="1" s="1"/>
  <c r="M94" i="1"/>
  <c r="M116" i="1" s="1"/>
  <c r="M107" i="1" l="1"/>
  <c r="M109" i="1" s="1"/>
  <c r="M117" i="1" s="1"/>
  <c r="M118" i="1" s="1"/>
  <c r="M123" i="1" s="1"/>
  <c r="K129" i="1" s="1"/>
  <c r="K131" i="1" s="1"/>
  <c r="G131" i="1" s="1"/>
  <c r="H94" i="1"/>
</calcChain>
</file>

<file path=xl/comments1.xml><?xml version="1.0" encoding="utf-8"?>
<comments xmlns="http://schemas.openxmlformats.org/spreadsheetml/2006/main">
  <authors>
    <author>Adam, Gerd</author>
  </authors>
  <commentList>
    <comment ref="G76" authorId="0" shapeId="0">
      <text>
        <r>
          <rPr>
            <sz val="9"/>
            <color indexed="81"/>
            <rFont val="Tahoma"/>
            <family val="2"/>
          </rPr>
          <t>Die Instandhaltungskostenpauschale erhöht sich um den Faktor 1,5 für  Mod.-Maßn. kunstgeschichtl. relevant Gebäude und um den Faktor  2,0 für denkmalgeschützte Gebäude</t>
        </r>
      </text>
    </comment>
  </commentList>
</comments>
</file>

<file path=xl/sharedStrings.xml><?xml version="1.0" encoding="utf-8"?>
<sst xmlns="http://schemas.openxmlformats.org/spreadsheetml/2006/main" count="231" uniqueCount="161">
  <si>
    <t>Gemeinde:</t>
  </si>
  <si>
    <t>Städtebauliche Erneuerungsmaßnahme:</t>
  </si>
  <si>
    <t>C</t>
  </si>
  <si>
    <t>Summe</t>
  </si>
  <si>
    <t>Mieteinnahmen</t>
  </si>
  <si>
    <t xml:space="preserve">          </t>
  </si>
  <si>
    <t>Zuwendungsfähiger Aufwand</t>
  </si>
  <si>
    <t>Gesamtkosten /a</t>
  </si>
  <si>
    <t xml:space="preserve">Sonstige Kosten </t>
  </si>
  <si>
    <t>Sach- und Arbeitsleistungen</t>
  </si>
  <si>
    <t>Summe der Eigenleistungen</t>
  </si>
  <si>
    <t>Summe der Eigenkapitalkosten</t>
  </si>
  <si>
    <t xml:space="preserve">Jährlicher Gesamtertrag </t>
  </si>
  <si>
    <t>Bewirtschaftungskosten</t>
  </si>
  <si>
    <t>Eigenkapitalkosten</t>
  </si>
  <si>
    <t xml:space="preserve">Einsetzbares Fremdkapital </t>
  </si>
  <si>
    <t>●</t>
  </si>
  <si>
    <t>./.</t>
  </si>
  <si>
    <t>x</t>
  </si>
  <si>
    <t>Art der Nutzung</t>
  </si>
  <si>
    <t>Anzahl</t>
  </si>
  <si>
    <t>Nutzer</t>
  </si>
  <si>
    <t>1.</t>
  </si>
  <si>
    <t>2.</t>
  </si>
  <si>
    <t>3.</t>
  </si>
  <si>
    <t>4.</t>
  </si>
  <si>
    <t>5.</t>
  </si>
  <si>
    <t>6.</t>
  </si>
  <si>
    <t>7.</t>
  </si>
  <si>
    <t>8.</t>
  </si>
  <si>
    <t>Für Fremdkapitalkosten und Abschreibung einsetzbar</t>
  </si>
  <si>
    <t>veranschlagte/ geleistete Std</t>
  </si>
  <si>
    <t>B</t>
  </si>
  <si>
    <t xml:space="preserve"> Ermittlung des zuwendungsfähigen Aufwands</t>
  </si>
  <si>
    <t>Ermittlung des jährlichen Gesamtertrags</t>
  </si>
  <si>
    <t>./. E5</t>
  </si>
  <si>
    <t>./. F6</t>
  </si>
  <si>
    <t>Eigenleistungen (F 3)</t>
  </si>
  <si>
    <t>Fremdkapital (G8)</t>
  </si>
  <si>
    <t>Eigenleistungen und Eigenkapitalkosten</t>
  </si>
  <si>
    <t>Ermittlung des einsetzbaren Fremdkapitals</t>
  </si>
  <si>
    <t xml:space="preserve">H </t>
  </si>
  <si>
    <t xml:space="preserve"> Ermittlung des Kostenerstattungsbetrages</t>
  </si>
  <si>
    <t>€ (brutto)</t>
  </si>
  <si>
    <t xml:space="preserve">Eigenkapital </t>
  </si>
  <si>
    <t>Wohnen</t>
  </si>
  <si>
    <t>Zwischensumme</t>
  </si>
  <si>
    <t>9.</t>
  </si>
  <si>
    <t>A</t>
  </si>
  <si>
    <t>D</t>
  </si>
  <si>
    <t>nicht umlagefähige Bewirtschaftungskosten (ohne Abschreibung) pro Jahr</t>
  </si>
  <si>
    <t>E</t>
  </si>
  <si>
    <t>F</t>
  </si>
  <si>
    <t>G</t>
  </si>
  <si>
    <t>1.1</t>
  </si>
  <si>
    <t>1.2</t>
  </si>
  <si>
    <t>1.3</t>
  </si>
  <si>
    <t>1.4</t>
  </si>
  <si>
    <t>1.5</t>
  </si>
  <si>
    <t>1.6</t>
  </si>
  <si>
    <t>1.7</t>
  </si>
  <si>
    <t>1.8</t>
  </si>
  <si>
    <t>VoSt</t>
  </si>
  <si>
    <t>Miete Gewerbe</t>
  </si>
  <si>
    <t>Lager, Sonstiges</t>
  </si>
  <si>
    <t>Gaststätte, laden, Büro</t>
  </si>
  <si>
    <t>Gaststätte/Laden/Büro/usw.</t>
  </si>
  <si>
    <t>Lager/Sonstiges</t>
  </si>
  <si>
    <t>Baujahr:</t>
  </si>
  <si>
    <t>VoSt.-abzugsber. Gewerbefl.</t>
  </si>
  <si>
    <t>jährlicher Gesamtertrag</t>
  </si>
  <si>
    <t xml:space="preserve">Datum, Ort </t>
  </si>
  <si>
    <t>über jährlichen Gesamtertrag</t>
  </si>
  <si>
    <t xml:space="preserve">Kostenerstattungsbetrag </t>
  </si>
  <si>
    <t>Summe jährlicher Bewirtschaftskosten</t>
  </si>
  <si>
    <r>
      <t>Fläche</t>
    </r>
    <r>
      <rPr>
        <vertAlign val="subscript"/>
        <sz val="10"/>
        <rFont val="Arial"/>
        <family val="2"/>
      </rPr>
      <t xml:space="preserve"> ges.</t>
    </r>
  </si>
  <si>
    <t>nicht rentierl.</t>
  </si>
  <si>
    <t>rentierlich</t>
  </si>
  <si>
    <t xml:space="preserve"> Mod.-Maßnahme Standard 100 %</t>
  </si>
  <si>
    <t xml:space="preserve"> Mod.-Maßn. Gebäude unter Denkmalschutz 200%</t>
  </si>
  <si>
    <t xml:space="preserve"> Neubau</t>
  </si>
  <si>
    <t>Umbauter Raum</t>
  </si>
  <si>
    <t>Kosten /m³</t>
  </si>
  <si>
    <t>Außenstellplätze / Garagen</t>
  </si>
  <si>
    <t xml:space="preserve"> Mod.-Maßnahme Standard 70 %</t>
  </si>
  <si>
    <t>Gewerbe</t>
  </si>
  <si>
    <t>Kosten</t>
  </si>
  <si>
    <t>Zuschusshöhe</t>
  </si>
  <si>
    <t>Förderprogramm</t>
  </si>
  <si>
    <t xml:space="preserve"> abzüglich Kosten, die durch Zuschüsse einer anderen Stelle gedeckt sind:</t>
  </si>
  <si>
    <t xml:space="preserve">abzügl. Kosten für ausschließliche Aufgaben der Denkmalpflege </t>
  </si>
  <si>
    <t>unterlassener Instandsetzung selbst zu tragen hat</t>
  </si>
  <si>
    <t xml:space="preserve">abzügl. Kosten, die der Eigentümer aufgrund anderer Rechtsvorschriften oder wegen </t>
  </si>
  <si>
    <t>Gesamtfläche</t>
  </si>
  <si>
    <t>Gemeinbedarfsfl. mit Einnahmen</t>
  </si>
  <si>
    <t>Pauschalabschreibung Eigenleistung (max. 2 %)</t>
  </si>
  <si>
    <t>Pauschalabschreibung Fremdkapital (max. 2 %)</t>
  </si>
  <si>
    <t xml:space="preserve"> x 15,00 €/h</t>
  </si>
  <si>
    <t>Gemein- bedarfsfl.</t>
  </si>
  <si>
    <t>Gemein, mit</t>
  </si>
  <si>
    <t>Gemeinbedarf</t>
  </si>
  <si>
    <t>Gebäude, Haus-Nr., Flurstück-Nr.:</t>
  </si>
  <si>
    <t>Ermittlung d. Kostenerstattungsbetrages über den jährl. Gesamtertrag</t>
  </si>
  <si>
    <r>
      <t xml:space="preserve">Prozentschlüssel  </t>
    </r>
    <r>
      <rPr>
        <b/>
        <vertAlign val="subscript"/>
        <sz val="10"/>
        <rFont val="Arial"/>
        <family val="2"/>
      </rPr>
      <t>(Kostenobergrenze)</t>
    </r>
  </si>
  <si>
    <t>Gemein, ohne</t>
  </si>
  <si>
    <t>Unterschrift (Stadt oder Gemeinde bzw. Bevollmächtigter)</t>
  </si>
  <si>
    <t>Gesamt-Gemeinbedarfsfläche ohne Einnahmen</t>
  </si>
  <si>
    <t>Gemeinbedarf, ohne</t>
  </si>
  <si>
    <t>Wohnen (2 bis 4 Prozent)</t>
  </si>
  <si>
    <t>TG/Garagen/Stellplätze (bis 5 Prozent)</t>
  </si>
  <si>
    <t>n. Fertigstellung / a</t>
  </si>
  <si>
    <r>
      <t xml:space="preserve">Miete mtl.                   </t>
    </r>
    <r>
      <rPr>
        <sz val="8"/>
        <rFont val="Arial"/>
        <family val="2"/>
      </rPr>
      <t xml:space="preserve"> (€ / m² od. Stck) </t>
    </r>
  </si>
  <si>
    <r>
      <t xml:space="preserve">Größe                 </t>
    </r>
    <r>
      <rPr>
        <sz val="8"/>
        <rFont val="Arial"/>
        <family val="2"/>
      </rPr>
      <t xml:space="preserve"> (m²)</t>
    </r>
  </si>
  <si>
    <t>gewählt:</t>
  </si>
  <si>
    <t>Kosten eines vergleichbaren Neubaus (KG 300, 400)</t>
  </si>
  <si>
    <t>Kosten der Erschließung eines vergleichbaren Neubaus (nur KG 211, 212, 214)</t>
  </si>
  <si>
    <t xml:space="preserve">  von C 9</t>
  </si>
  <si>
    <t>Zuwendungsfähiger Aufwand (C 9)</t>
  </si>
  <si>
    <t>davon Mehrwertsteuer von C6</t>
  </si>
  <si>
    <t>Neubau</t>
  </si>
  <si>
    <t>Modernisierung / Instandsetzung</t>
  </si>
  <si>
    <t>mindestens 15 %; bei gemeindlichen unrentierl. Gemeinbedarfseinrichtungen 0 Prozent, sonst anteilige rentierl. Fläche x 15 Prozent</t>
  </si>
  <si>
    <t>Bitte Art der Baumaßnahme wählen:</t>
  </si>
  <si>
    <t>Baumaterial</t>
  </si>
  <si>
    <t>Tiefgaragenplätze</t>
  </si>
  <si>
    <r>
      <t>Kosten der Einzelbaumaßnahme (KG 211, 212, 214, 300 bis 700)</t>
    </r>
    <r>
      <rPr>
        <vertAlign val="subscript"/>
        <sz val="10"/>
        <rFont val="Arial"/>
        <family val="2"/>
      </rPr>
      <t xml:space="preserve"> ohne Grundstückskosten</t>
    </r>
  </si>
  <si>
    <t xml:space="preserve"> Mod.-Maßn. städtebaulich relevant Gebäude 150 %</t>
  </si>
  <si>
    <t>Kosten der Einzelbaumaßnahme KG 211, 212, 214, 300 bis 700</t>
  </si>
  <si>
    <r>
      <t xml:space="preserve">davon Mehrwertsteuer bei Vorsteuerabzugsberechtigung </t>
    </r>
    <r>
      <rPr>
        <vertAlign val="subscript"/>
        <sz val="10"/>
        <rFont val="Arial"/>
        <family val="2"/>
      </rPr>
      <t>D1.1 bis D1.6</t>
    </r>
  </si>
  <si>
    <t>Kosten der Baumaßnahme (KG 211, 212, 214, 300, 400)</t>
  </si>
  <si>
    <t>abzügl. nicht zuwendungsfähige Kosten, bei öffentlichen Maßnahmen nach RiLiSE 10.4</t>
  </si>
  <si>
    <t>Gemeinbedarfsfläche ohne Einnahme (4%)</t>
  </si>
  <si>
    <t>Vergleichsberechnung zur Ermittlung der Kostenobergrenze (nur bei Mod./Inst.)</t>
  </si>
  <si>
    <t>G. Adam 06.01.2020</t>
  </si>
  <si>
    <t>Verwaltungskosten</t>
  </si>
  <si>
    <t>je Wohnung</t>
  </si>
  <si>
    <t>je Garage od. Stellpl</t>
  </si>
  <si>
    <t>Instandhaltungskosten</t>
  </si>
  <si>
    <t>Garagen oder TG</t>
  </si>
  <si>
    <t>Bestandsjahre</t>
  </si>
  <si>
    <t>min. 32 Jahre zurück</t>
  </si>
  <si>
    <t>min. 22 Jahre zurück</t>
  </si>
  <si>
    <t>&lt;= 22 Jahre zurück</t>
  </si>
  <si>
    <t>Ergebnis</t>
  </si>
  <si>
    <t>Gemeinbedarfsfl. mit Einnahmen  (4,0 %)</t>
  </si>
  <si>
    <r>
      <t>Lager/Sonstiges</t>
    </r>
    <r>
      <rPr>
        <vertAlign val="subscript"/>
        <sz val="10"/>
        <rFont val="Arial"/>
        <family val="2"/>
      </rPr>
      <t xml:space="preserve"> </t>
    </r>
  </si>
  <si>
    <t>Gaststätte/Laden/Büro/usw</t>
  </si>
  <si>
    <r>
      <t>Gemeinbedarfsfl.</t>
    </r>
    <r>
      <rPr>
        <vertAlign val="subscript"/>
        <sz val="10"/>
        <rFont val="Arial"/>
        <family val="2"/>
      </rPr>
      <t xml:space="preserve"> mit Einnahmen </t>
    </r>
  </si>
  <si>
    <r>
      <t>Gemeinbedarfsfl.</t>
    </r>
    <r>
      <rPr>
        <vertAlign val="subscript"/>
        <sz val="10"/>
        <rFont val="Arial"/>
        <family val="2"/>
      </rPr>
      <t xml:space="preserve"> ohne Einnahmen</t>
    </r>
  </si>
  <si>
    <t>Faktor</t>
  </si>
  <si>
    <t>Instandhaltungsansatz WE</t>
  </si>
  <si>
    <t>Verwaltungskosten (VwK), in Anlehnung § 26 II. BV und ImmoWertV</t>
  </si>
  <si>
    <t>Mietausfallwagnis, in Anlehnung § 29 II. BV und ImmoWertV</t>
  </si>
  <si>
    <t>Instandhaltungskosten, in Anlehnung § 28 II. BV und ImmoWertV</t>
  </si>
  <si>
    <t>Gewerbe (4,0 %)</t>
  </si>
  <si>
    <t>Instandhaltungsansätze gem. ImmoWertV</t>
  </si>
  <si>
    <t>Eingabe</t>
  </si>
  <si>
    <t>Gemeinbedarfsfl. mit Einnahme / Gewerbe (4 %)</t>
  </si>
  <si>
    <t xml:space="preserve"> Verzinsung des Eigenkapitals (max. 2 %)</t>
  </si>
  <si>
    <t>marktüblicher Zinssatz für Fremdkapital (max. 3,0 %)</t>
  </si>
  <si>
    <t>G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</si>
</sst>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-* #,##0.00\ &quot;DM&quot;_-;\-* #,##0.00\ &quot;DM&quot;_-;_-* &quot;-&quot;??\ &quot;DM&quot;_-;_-@_-"/>
    <numFmt numFmtId="165" formatCode="#,##0.00\ &quot;€&quot;"/>
    <numFmt numFmtId="166" formatCode="#,##0.00\ &quot;h&quot;"/>
    <numFmt numFmtId="167" formatCode="#,##0.00\ &quot;Prozent&quot;"/>
    <numFmt numFmtId="168" formatCode="#,##0.00\ &quot;Prozent)&quot;"/>
    <numFmt numFmtId="169" formatCode="#,##0.00\ &quot;m²&quot;"/>
    <numFmt numFmtId="170" formatCode="#,##0.00\ &quot;%&quot;"/>
    <numFmt numFmtId="171" formatCode="#,##0.00\ &quot;€/m²&quot;"/>
    <numFmt numFmtId="172" formatCode="\ 0.00"/>
    <numFmt numFmtId="173" formatCode="#,##0\ &quot;Einheiten&quot;"/>
    <numFmt numFmtId="174" formatCode="#,##0.00\ &quot;€/Einheit&quot;"/>
    <numFmt numFmtId="175" formatCode="&quot; (entspricht&quot;\ \ #,##0.00\ &quot;Prozent)&quot;"/>
    <numFmt numFmtId="176" formatCode="#,##0.00\ &quot;€/Stück&quot;"/>
    <numFmt numFmtId="177" formatCode="0\ &quot;Stück&quot;"/>
    <numFmt numFmtId="178" formatCode="&quot;(&quot;\ #,##0.00\ &quot;m² )&quot;"/>
    <numFmt numFmtId="179" formatCode="0\ &quot;Jahre&quot;"/>
    <numFmt numFmtId="180" formatCode="&quot;entspricht&quot;\ #,##0.00\ &quot;%&quot;"/>
    <numFmt numFmtId="181" formatCode="#,##0.00\ &quot;m³&quot;"/>
    <numFmt numFmtId="182" formatCode="#,##0.00\ &quot;€/m³&quot;"/>
    <numFmt numFmtId="183" formatCode="&quot;Zeile&quot;\ 0"/>
    <numFmt numFmtId="184" formatCode="#,##0\ &quot;%&quot;"/>
    <numFmt numFmtId="185" formatCode="&quot;TG/Garage/Stellplätze (bis&quot;\ #,##0.00\ &quot;€)&quot;"/>
    <numFmt numFmtId="186" formatCode="&quot;Wohnen (bis&quot;\ #,##0.00\ &quot;€)&quot;"/>
    <numFmt numFmtId="187" formatCode="&quot;Tiefgaragenstellplätze (30,00 bis&quot;\ #,##0.00\ &quot;€)&quot;"/>
    <numFmt numFmtId="188" formatCode="&quot;Stellplätze/Garagen (30,00 bis&quot;\ #,##0.00\ &quot;€)&quot;"/>
    <numFmt numFmtId="189" formatCode="#,##0.0"/>
    <numFmt numFmtId="190" formatCode="&quot;Gaststätte/Laden/Büro/usw. (bis&quot;\ 0.00\ &quot;€/m²)&quot;"/>
    <numFmt numFmtId="191" formatCode="&quot;Wohnungen (bis&quot;\ 0.00\ &quot;€/m²)&quot;"/>
    <numFmt numFmtId="192" formatCode="&quot;Lager/Sonstiges (bis&quot;\ 0.00\ &quot;€/m²)&quot;"/>
    <numFmt numFmtId="193" formatCode="&quot;Gemeinbedarfsfl. mit Einnahmen (bis&quot;\ #,##0.00\ &quot;€/m²)&quot;"/>
    <numFmt numFmtId="194" formatCode="&quot;Gemeinbedarfsfl. ohne Einnahmen (bis&quot;\ #,##0.00\ &quot;€/m²)&quot;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MS Sans"/>
    </font>
    <font>
      <b/>
      <sz val="1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22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/>
    <xf numFmtId="165" fontId="2" fillId="2" borderId="1" xfId="2" applyNumberFormat="1" applyFont="1" applyFill="1" applyBorder="1" applyProtection="1">
      <protection locked="0"/>
    </xf>
    <xf numFmtId="165" fontId="2" fillId="2" borderId="2" xfId="2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Border="1" applyProtection="1">
      <protection hidden="1"/>
    </xf>
    <xf numFmtId="4" fontId="2" fillId="0" borderId="3" xfId="0" applyNumberFormat="1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70" fontId="2" fillId="2" borderId="1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4" fontId="6" fillId="3" borderId="6" xfId="0" applyNumberFormat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0" applyFont="1" applyAlignment="1">
      <alignment vertical="center"/>
    </xf>
    <xf numFmtId="164" fontId="2" fillId="0" borderId="6" xfId="2" applyFont="1" applyBorder="1" applyAlignment="1" applyProtection="1">
      <alignment vertical="center"/>
      <protection hidden="1"/>
    </xf>
    <xf numFmtId="0" fontId="5" fillId="0" borderId="3" xfId="0" quotePrefix="1" applyFont="1" applyFill="1" applyBorder="1" applyAlignment="1" applyProtection="1">
      <alignment horizontal="right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9" fontId="2" fillId="3" borderId="5" xfId="1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5" fillId="0" borderId="0" xfId="0" quotePrefix="1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9" fontId="2" fillId="3" borderId="0" xfId="1" applyFont="1" applyFill="1" applyBorder="1" applyProtection="1">
      <protection hidden="1"/>
    </xf>
    <xf numFmtId="164" fontId="2" fillId="0" borderId="0" xfId="2" applyFont="1" applyBorder="1" applyProtection="1">
      <protection hidden="1"/>
    </xf>
    <xf numFmtId="164" fontId="1" fillId="0" borderId="0" xfId="2" applyFont="1" applyFill="1" applyBorder="1" applyProtection="1">
      <protection hidden="1"/>
    </xf>
    <xf numFmtId="4" fontId="2" fillId="0" borderId="4" xfId="0" applyNumberFormat="1" applyFont="1" applyBorder="1" applyProtection="1"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1" fillId="3" borderId="4" xfId="0" applyFont="1" applyFill="1" applyBorder="1" applyAlignment="1" applyProtection="1">
      <alignment horizontal="right"/>
      <protection hidden="1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165" fontId="2" fillId="2" borderId="1" xfId="2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Protection="1">
      <protection hidden="1"/>
    </xf>
    <xf numFmtId="4" fontId="2" fillId="3" borderId="4" xfId="0" applyNumberFormat="1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165" fontId="2" fillId="3" borderId="0" xfId="0" applyNumberFormat="1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164" fontId="2" fillId="3" borderId="3" xfId="2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165" fontId="2" fillId="3" borderId="0" xfId="0" applyNumberFormat="1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4" fontId="2" fillId="3" borderId="6" xfId="0" applyNumberFormat="1" applyFont="1" applyFill="1" applyBorder="1" applyAlignment="1" applyProtection="1">
      <alignment vertical="center"/>
      <protection hidden="1"/>
    </xf>
    <xf numFmtId="4" fontId="2" fillId="3" borderId="3" xfId="0" applyNumberFormat="1" applyFont="1" applyFill="1" applyBorder="1" applyProtection="1">
      <protection hidden="1"/>
    </xf>
    <xf numFmtId="0" fontId="6" fillId="3" borderId="0" xfId="0" applyFont="1" applyFill="1"/>
    <xf numFmtId="0" fontId="4" fillId="3" borderId="0" xfId="0" applyFont="1" applyFill="1"/>
    <xf numFmtId="4" fontId="2" fillId="3" borderId="3" xfId="0" applyNumberFormat="1" applyFont="1" applyFill="1" applyBorder="1" applyAlignment="1" applyProtection="1">
      <alignment horizontal="right"/>
      <protection hidden="1"/>
    </xf>
    <xf numFmtId="0" fontId="8" fillId="3" borderId="7" xfId="0" applyFont="1" applyFill="1" applyBorder="1" applyAlignment="1" applyProtection="1">
      <alignment horizontal="left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2" fillId="3" borderId="9" xfId="0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165" fontId="2" fillId="3" borderId="3" xfId="2" applyNumberFormat="1" applyFont="1" applyFill="1" applyBorder="1" applyAlignment="1" applyProtection="1">
      <alignment horizontal="right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165" fontId="2" fillId="3" borderId="3" xfId="2" applyNumberFormat="1" applyFont="1" applyFill="1" applyBorder="1" applyProtection="1">
      <protection hidden="1"/>
    </xf>
    <xf numFmtId="165" fontId="2" fillId="3" borderId="4" xfId="2" applyNumberFormat="1" applyFont="1" applyFill="1" applyBorder="1" applyAlignment="1" applyProtection="1">
      <alignment horizontal="center"/>
      <protection hidden="1"/>
    </xf>
    <xf numFmtId="165" fontId="2" fillId="3" borderId="10" xfId="2" applyNumberFormat="1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72" fontId="2" fillId="0" borderId="3" xfId="2" applyNumberFormat="1" applyFont="1" applyBorder="1" applyProtection="1"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165" fontId="2" fillId="2" borderId="1" xfId="2" applyNumberFormat="1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/>
      <protection hidden="1"/>
    </xf>
    <xf numFmtId="165" fontId="2" fillId="3" borderId="0" xfId="2" applyNumberFormat="1" applyFont="1" applyFill="1" applyBorder="1" applyAlignment="1" applyProtection="1">
      <alignment horizontal="center"/>
      <protection hidden="1"/>
    </xf>
    <xf numFmtId="4" fontId="2" fillId="3" borderId="0" xfId="0" applyNumberFormat="1" applyFont="1" applyFill="1" applyBorder="1" applyProtection="1">
      <protection hidden="1"/>
    </xf>
    <xf numFmtId="164" fontId="2" fillId="3" borderId="0" xfId="2" applyFont="1" applyFill="1" applyBorder="1" applyProtection="1">
      <protection hidden="1"/>
    </xf>
    <xf numFmtId="4" fontId="6" fillId="3" borderId="5" xfId="0" applyNumberFormat="1" applyFont="1" applyFill="1" applyBorder="1" applyProtection="1">
      <protection hidden="1"/>
    </xf>
    <xf numFmtId="165" fontId="2" fillId="0" borderId="10" xfId="2" applyNumberFormat="1" applyFont="1" applyBorder="1" applyProtection="1">
      <protection hidden="1"/>
    </xf>
    <xf numFmtId="165" fontId="2" fillId="0" borderId="4" xfId="2" applyNumberFormat="1" applyFont="1" applyBorder="1" applyProtection="1">
      <protection hidden="1"/>
    </xf>
    <xf numFmtId="0" fontId="2" fillId="3" borderId="12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vertical="center"/>
      <protection hidden="1"/>
    </xf>
    <xf numFmtId="0" fontId="2" fillId="3" borderId="8" xfId="0" applyNumberFormat="1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5" fontId="2" fillId="3" borderId="4" xfId="2" applyNumberFormat="1" applyFont="1" applyFill="1" applyBorder="1" applyProtection="1">
      <protection hidden="1"/>
    </xf>
    <xf numFmtId="165" fontId="2" fillId="3" borderId="1" xfId="2" applyNumberFormat="1" applyFont="1" applyFill="1" applyBorder="1" applyProtection="1">
      <protection hidden="1"/>
    </xf>
    <xf numFmtId="165" fontId="2" fillId="3" borderId="3" xfId="0" applyNumberFormat="1" applyFont="1" applyFill="1" applyBorder="1" applyProtection="1">
      <protection hidden="1"/>
    </xf>
    <xf numFmtId="165" fontId="2" fillId="3" borderId="5" xfId="2" applyNumberFormat="1" applyFont="1" applyFill="1" applyBorder="1" applyProtection="1">
      <protection hidden="1"/>
    </xf>
    <xf numFmtId="170" fontId="2" fillId="3" borderId="0" xfId="2" applyNumberFormat="1" applyFont="1" applyFill="1" applyBorder="1" applyAlignment="1" applyProtection="1">
      <alignment horizontal="right"/>
      <protection hidden="1"/>
    </xf>
    <xf numFmtId="0" fontId="2" fillId="3" borderId="4" xfId="0" applyFont="1" applyFill="1" applyBorder="1" applyAlignment="1" applyProtection="1">
      <alignment horizontal="right"/>
      <protection hidden="1"/>
    </xf>
    <xf numFmtId="168" fontId="2" fillId="3" borderId="4" xfId="0" applyNumberFormat="1" applyFont="1" applyFill="1" applyBorder="1" applyAlignment="1" applyProtection="1">
      <alignment horizontal="left"/>
      <protection hidden="1"/>
    </xf>
    <xf numFmtId="164" fontId="2" fillId="3" borderId="4" xfId="2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165" fontId="1" fillId="0" borderId="3" xfId="2" applyNumberFormat="1" applyFont="1" applyFill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" fontId="2" fillId="0" borderId="0" xfId="0" applyNumberFormat="1" applyFont="1"/>
    <xf numFmtId="4" fontId="2" fillId="0" borderId="13" xfId="2" applyNumberFormat="1" applyFont="1" applyBorder="1" applyProtection="1">
      <protection hidden="1"/>
    </xf>
    <xf numFmtId="172" fontId="2" fillId="0" borderId="13" xfId="2" applyNumberFormat="1" applyFont="1" applyBorder="1" applyProtection="1">
      <protection hidden="1"/>
    </xf>
    <xf numFmtId="172" fontId="1" fillId="3" borderId="13" xfId="2" applyNumberFormat="1" applyFont="1" applyFill="1" applyBorder="1" applyProtection="1"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left" vertical="center"/>
      <protection hidden="1"/>
    </xf>
    <xf numFmtId="0" fontId="8" fillId="3" borderId="14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horizontal="right" vertical="center"/>
      <protection hidden="1"/>
    </xf>
    <xf numFmtId="165" fontId="2" fillId="3" borderId="1" xfId="2" applyNumberFormat="1" applyFont="1" applyFill="1" applyBorder="1" applyAlignment="1" applyProtection="1">
      <alignment vertical="center"/>
      <protection hidden="1"/>
    </xf>
    <xf numFmtId="165" fontId="2" fillId="3" borderId="3" xfId="2" applyNumberFormat="1" applyFont="1" applyFill="1" applyBorder="1" applyAlignment="1" applyProtection="1">
      <alignment vertical="center"/>
      <protection hidden="1"/>
    </xf>
    <xf numFmtId="165" fontId="8" fillId="0" borderId="15" xfId="2" applyNumberFormat="1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65" fontId="8" fillId="3" borderId="15" xfId="2" applyNumberFormat="1" applyFont="1" applyFill="1" applyBorder="1" applyAlignment="1" applyProtection="1">
      <alignment horizontal="right" vertical="center"/>
      <protection hidden="1"/>
    </xf>
    <xf numFmtId="0" fontId="8" fillId="3" borderId="8" xfId="0" applyFont="1" applyFill="1" applyBorder="1" applyProtection="1">
      <protection hidden="1"/>
    </xf>
    <xf numFmtId="0" fontId="8" fillId="3" borderId="4" xfId="0" applyFont="1" applyFill="1" applyBorder="1" applyAlignment="1" applyProtection="1">
      <alignment horizontal="right"/>
      <protection hidden="1"/>
    </xf>
    <xf numFmtId="0" fontId="8" fillId="3" borderId="4" xfId="0" applyFont="1" applyFill="1" applyBorder="1" applyProtection="1">
      <protection hidden="1"/>
    </xf>
    <xf numFmtId="4" fontId="2" fillId="3" borderId="4" xfId="0" applyNumberFormat="1" applyFont="1" applyFill="1" applyBorder="1" applyAlignment="1" applyProtection="1">
      <alignment horizontal="right"/>
      <protection hidden="1"/>
    </xf>
    <xf numFmtId="165" fontId="1" fillId="3" borderId="4" xfId="2" applyNumberFormat="1" applyFont="1" applyFill="1" applyBorder="1" applyProtection="1">
      <protection hidden="1"/>
    </xf>
    <xf numFmtId="164" fontId="1" fillId="3" borderId="8" xfId="2" applyFont="1" applyFill="1" applyBorder="1" applyProtection="1">
      <protection hidden="1"/>
    </xf>
    <xf numFmtId="0" fontId="2" fillId="3" borderId="5" xfId="0" applyFont="1" applyFill="1" applyBorder="1" applyAlignment="1" applyProtection="1">
      <alignment horizontal="right" vertical="center"/>
      <protection hidden="1"/>
    </xf>
    <xf numFmtId="4" fontId="2" fillId="3" borderId="5" xfId="0" applyNumberFormat="1" applyFont="1" applyFill="1" applyBorder="1" applyAlignment="1" applyProtection="1">
      <alignment horizontal="right" vertical="center"/>
      <protection hidden="1"/>
    </xf>
    <xf numFmtId="164" fontId="2" fillId="3" borderId="5" xfId="2" applyFont="1" applyFill="1" applyBorder="1" applyAlignment="1" applyProtection="1">
      <alignment vertical="center"/>
      <protection hidden="1"/>
    </xf>
    <xf numFmtId="172" fontId="2" fillId="3" borderId="0" xfId="2" applyNumberFormat="1" applyFont="1" applyFill="1" applyBorder="1" applyAlignment="1" applyProtection="1">
      <alignment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Protection="1">
      <protection hidden="1"/>
    </xf>
    <xf numFmtId="165" fontId="8" fillId="3" borderId="15" xfId="2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165" fontId="2" fillId="3" borderId="2" xfId="0" applyNumberFormat="1" applyFont="1" applyFill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4" fontId="8" fillId="3" borderId="0" xfId="0" applyNumberFormat="1" applyFont="1" applyFill="1" applyBorder="1" applyProtection="1">
      <protection hidden="1"/>
    </xf>
    <xf numFmtId="0" fontId="2" fillId="3" borderId="8" xfId="0" applyNumberFormat="1" applyFont="1" applyFill="1" applyBorder="1" applyAlignment="1" applyProtection="1">
      <alignment vertical="center"/>
      <protection hidden="1"/>
    </xf>
    <xf numFmtId="0" fontId="8" fillId="3" borderId="14" xfId="0" applyFont="1" applyFill="1" applyBorder="1" applyAlignment="1" applyProtection="1">
      <alignment vertical="center"/>
      <protection hidden="1"/>
    </xf>
    <xf numFmtId="0" fontId="8" fillId="3" borderId="8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0" fontId="11" fillId="3" borderId="11" xfId="0" applyFont="1" applyFill="1" applyBorder="1" applyProtection="1"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165" fontId="2" fillId="3" borderId="1" xfId="2" applyNumberFormat="1" applyFont="1" applyFill="1" applyBorder="1" applyAlignment="1" applyProtection="1">
      <alignment horizontal="right" vertical="center"/>
      <protection hidden="1"/>
    </xf>
    <xf numFmtId="0" fontId="11" fillId="3" borderId="13" xfId="0" applyNumberFormat="1" applyFont="1" applyFill="1" applyBorder="1" applyAlignment="1" applyProtection="1">
      <alignment horizontal="center"/>
      <protection hidden="1"/>
    </xf>
    <xf numFmtId="0" fontId="11" fillId="3" borderId="2" xfId="0" applyNumberFormat="1" applyFont="1" applyFill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vertical="center"/>
      <protection hidden="1"/>
    </xf>
    <xf numFmtId="171" fontId="2" fillId="3" borderId="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73" fontId="2" fillId="3" borderId="1" xfId="2" applyNumberFormat="1" applyFont="1" applyFill="1" applyBorder="1" applyAlignment="1" applyProtection="1">
      <alignment vertical="center"/>
      <protection hidden="1"/>
    </xf>
    <xf numFmtId="169" fontId="2" fillId="3" borderId="8" xfId="2" applyNumberFormat="1" applyFont="1" applyFill="1" applyBorder="1" applyAlignment="1" applyProtection="1">
      <alignment vertical="center"/>
      <protection hidden="1"/>
    </xf>
    <xf numFmtId="165" fontId="2" fillId="3" borderId="15" xfId="2" applyNumberFormat="1" applyFont="1" applyFill="1" applyBorder="1" applyAlignment="1" applyProtection="1">
      <alignment vertical="center"/>
      <protection hidden="1"/>
    </xf>
    <xf numFmtId="169" fontId="2" fillId="3" borderId="4" xfId="2" applyNumberFormat="1" applyFont="1" applyFill="1" applyBorder="1" applyAlignment="1" applyProtection="1">
      <alignment vertical="center"/>
      <protection hidden="1"/>
    </xf>
    <xf numFmtId="177" fontId="2" fillId="3" borderId="4" xfId="2" applyNumberFormat="1" applyFont="1" applyFill="1" applyBorder="1" applyAlignment="1" applyProtection="1">
      <alignment vertical="center"/>
      <protection hidden="1"/>
    </xf>
    <xf numFmtId="165" fontId="2" fillId="3" borderId="8" xfId="2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165" fontId="2" fillId="3" borderId="0" xfId="2" applyNumberFormat="1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right" vertical="center"/>
      <protection hidden="1"/>
    </xf>
    <xf numFmtId="165" fontId="2" fillId="3" borderId="5" xfId="2" applyNumberFormat="1" applyFont="1" applyFill="1" applyBorder="1" applyAlignment="1" applyProtection="1">
      <alignment vertical="center"/>
      <protection hidden="1"/>
    </xf>
    <xf numFmtId="0" fontId="8" fillId="3" borderId="5" xfId="0" applyFont="1" applyFill="1" applyBorder="1" applyAlignment="1" applyProtection="1"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3" borderId="5" xfId="0" applyFont="1" applyFill="1" applyBorder="1" applyAlignment="1" applyProtection="1">
      <alignment horizontal="left" vertical="center"/>
      <protection hidden="1"/>
    </xf>
    <xf numFmtId="0" fontId="8" fillId="3" borderId="7" xfId="0" applyFont="1" applyFill="1" applyBorder="1" applyAlignment="1" applyProtection="1">
      <alignment horizontal="center"/>
      <protection hidden="1"/>
    </xf>
    <xf numFmtId="165" fontId="8" fillId="3" borderId="15" xfId="0" applyNumberFormat="1" applyFont="1" applyFill="1" applyBorder="1" applyProtection="1">
      <protection hidden="1"/>
    </xf>
    <xf numFmtId="0" fontId="16" fillId="3" borderId="8" xfId="0" applyFont="1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1" fontId="8" fillId="3" borderId="7" xfId="0" applyNumberFormat="1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14" xfId="0" applyNumberFormat="1" applyFont="1" applyFill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center"/>
      <protection hidden="1"/>
    </xf>
    <xf numFmtId="4" fontId="8" fillId="3" borderId="7" xfId="0" applyNumberFormat="1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vertical="center"/>
      <protection hidden="1"/>
    </xf>
    <xf numFmtId="49" fontId="2" fillId="3" borderId="7" xfId="0" applyNumberFormat="1" applyFont="1" applyFill="1" applyBorder="1" applyAlignment="1" applyProtection="1">
      <alignment horizontal="center"/>
      <protection hidden="1"/>
    </xf>
    <xf numFmtId="165" fontId="2" fillId="0" borderId="1" xfId="2" applyNumberFormat="1" applyFont="1" applyBorder="1" applyAlignment="1" applyProtection="1">
      <alignment vertical="center"/>
      <protection hidden="1"/>
    </xf>
    <xf numFmtId="165" fontId="2" fillId="2" borderId="1" xfId="2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/>
    <xf numFmtId="0" fontId="8" fillId="3" borderId="13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left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4" fontId="1" fillId="3" borderId="4" xfId="0" applyNumberFormat="1" applyFont="1" applyFill="1" applyBorder="1" applyAlignment="1" applyProtection="1">
      <alignment horizontal="right"/>
      <protection hidden="1"/>
    </xf>
    <xf numFmtId="172" fontId="2" fillId="3" borderId="4" xfId="2" applyNumberFormat="1" applyFont="1" applyFill="1" applyBorder="1" applyAlignment="1" applyProtection="1">
      <alignment vertical="center"/>
      <protection hidden="1"/>
    </xf>
    <xf numFmtId="172" fontId="2" fillId="0" borderId="10" xfId="2" applyNumberFormat="1" applyFont="1" applyBorder="1" applyProtection="1">
      <protection hidden="1"/>
    </xf>
    <xf numFmtId="0" fontId="6" fillId="3" borderId="0" xfId="0" applyFont="1" applyFill="1" applyBorder="1"/>
    <xf numFmtId="0" fontId="2" fillId="3" borderId="0" xfId="0" applyFont="1" applyFill="1"/>
    <xf numFmtId="165" fontId="2" fillId="3" borderId="0" xfId="2" applyNumberFormat="1" applyFont="1" applyFill="1" applyBorder="1" applyAlignment="1" applyProtection="1">
      <protection hidden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/>
    <xf numFmtId="0" fontId="8" fillId="3" borderId="13" xfId="0" applyFont="1" applyFill="1" applyBorder="1" applyAlignment="1" applyProtection="1">
      <alignment horizontal="center"/>
      <protection hidden="1"/>
    </xf>
    <xf numFmtId="179" fontId="2" fillId="3" borderId="0" xfId="0" applyNumberFormat="1" applyFont="1" applyFill="1" applyBorder="1" applyProtection="1">
      <protection hidden="1"/>
    </xf>
    <xf numFmtId="0" fontId="6" fillId="3" borderId="12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169" fontId="2" fillId="0" borderId="0" xfId="0" applyNumberFormat="1" applyFont="1"/>
    <xf numFmtId="4" fontId="6" fillId="3" borderId="0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hidden="1"/>
    </xf>
    <xf numFmtId="18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6" fillId="3" borderId="14" xfId="0" applyNumberFormat="1" applyFont="1" applyFill="1" applyBorder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65" fontId="16" fillId="3" borderId="8" xfId="2" applyNumberFormat="1" applyFont="1" applyFill="1" applyBorder="1" applyAlignment="1" applyProtection="1">
      <alignment vertical="center"/>
      <protection hidden="1"/>
    </xf>
    <xf numFmtId="49" fontId="6" fillId="3" borderId="8" xfId="0" applyNumberFormat="1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Protection="1">
      <protection locked="0"/>
    </xf>
    <xf numFmtId="0" fontId="2" fillId="5" borderId="1" xfId="0" applyFont="1" applyFill="1" applyBorder="1" applyProtection="1">
      <protection locked="0"/>
    </xf>
    <xf numFmtId="0" fontId="8" fillId="3" borderId="13" xfId="0" applyFont="1" applyFill="1" applyBorder="1" applyAlignment="1" applyProtection="1">
      <alignment horizontal="center"/>
      <protection hidden="1"/>
    </xf>
    <xf numFmtId="49" fontId="6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4" fontId="6" fillId="0" borderId="0" xfId="0" applyNumberFormat="1" applyFont="1"/>
    <xf numFmtId="49" fontId="2" fillId="3" borderId="8" xfId="0" applyNumberFormat="1" applyFont="1" applyFill="1" applyBorder="1" applyAlignment="1" applyProtection="1">
      <alignment horizontal="left" vertical="center"/>
      <protection hidden="1"/>
    </xf>
    <xf numFmtId="165" fontId="2" fillId="4" borderId="17" xfId="0" applyNumberFormat="1" applyFont="1" applyFill="1" applyBorder="1"/>
    <xf numFmtId="0" fontId="2" fillId="4" borderId="18" xfId="0" applyFont="1" applyFill="1" applyBorder="1" applyAlignment="1">
      <alignment horizontal="center" vertical="center"/>
    </xf>
    <xf numFmtId="165" fontId="2" fillId="6" borderId="17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Protection="1">
      <protection hidden="1"/>
    </xf>
    <xf numFmtId="183" fontId="11" fillId="0" borderId="0" xfId="0" applyNumberFormat="1" applyFont="1" applyFill="1" applyBorder="1" applyAlignment="1" applyProtection="1">
      <alignment horizontal="center"/>
      <protection hidden="1"/>
    </xf>
    <xf numFmtId="184" fontId="11" fillId="0" borderId="0" xfId="0" applyNumberFormat="1" applyFont="1" applyFill="1" applyBorder="1" applyAlignment="1">
      <alignment horizontal="center"/>
    </xf>
    <xf numFmtId="0" fontId="8" fillId="0" borderId="0" xfId="0" applyFont="1"/>
    <xf numFmtId="3" fontId="0" fillId="0" borderId="0" xfId="0" applyNumberFormat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170" fontId="11" fillId="0" borderId="20" xfId="0" applyNumberFormat="1" applyFont="1" applyFill="1" applyBorder="1" applyAlignment="1" applyProtection="1">
      <alignment horizontal="center"/>
      <protection hidden="1"/>
    </xf>
    <xf numFmtId="0" fontId="2" fillId="0" borderId="7" xfId="0" applyFont="1" applyBorder="1"/>
    <xf numFmtId="0" fontId="8" fillId="3" borderId="13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5" fontId="2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9" fontId="2" fillId="3" borderId="3" xfId="1" applyFont="1" applyFill="1" applyBorder="1" applyProtection="1">
      <protection hidden="1"/>
    </xf>
    <xf numFmtId="4" fontId="2" fillId="3" borderId="8" xfId="0" applyNumberFormat="1" applyFont="1" applyFill="1" applyBorder="1" applyAlignment="1" applyProtection="1">
      <alignment horizontal="right"/>
      <protection hidden="1"/>
    </xf>
    <xf numFmtId="2" fontId="8" fillId="3" borderId="14" xfId="0" applyNumberFormat="1" applyFont="1" applyFill="1" applyBorder="1" applyAlignment="1" applyProtection="1">
      <alignment horizontal="left" vertical="center"/>
      <protection hidden="1"/>
    </xf>
    <xf numFmtId="165" fontId="8" fillId="3" borderId="1" xfId="2" applyNumberFormat="1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165" fontId="2" fillId="7" borderId="2" xfId="2" applyNumberFormat="1" applyFont="1" applyFill="1" applyBorder="1" applyProtection="1">
      <protection locked="0"/>
    </xf>
    <xf numFmtId="0" fontId="2" fillId="7" borderId="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vertical="center"/>
      <protection hidden="1"/>
    </xf>
    <xf numFmtId="0" fontId="6" fillId="3" borderId="8" xfId="0" applyNumberFormat="1" applyFont="1" applyFill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6" fillId="3" borderId="8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protection hidden="1"/>
    </xf>
    <xf numFmtId="0" fontId="11" fillId="3" borderId="0" xfId="0" applyFont="1" applyFill="1"/>
    <xf numFmtId="0" fontId="6" fillId="3" borderId="13" xfId="0" applyFont="1" applyFill="1" applyBorder="1" applyAlignment="1" applyProtection="1">
      <alignment horizontal="center" vertical="center"/>
      <protection hidden="1"/>
    </xf>
    <xf numFmtId="165" fontId="2" fillId="3" borderId="1" xfId="2" applyNumberFormat="1" applyFont="1" applyFill="1" applyBorder="1" applyAlignment="1" applyProtection="1">
      <alignment horizontal="right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169" fontId="2" fillId="3" borderId="8" xfId="0" applyNumberFormat="1" applyFont="1" applyFill="1" applyBorder="1" applyAlignment="1" applyProtection="1">
      <alignment horizontal="right" vertical="center"/>
      <protection hidden="1"/>
    </xf>
    <xf numFmtId="0" fontId="11" fillId="3" borderId="8" xfId="0" applyNumberFormat="1" applyFont="1" applyFill="1" applyBorder="1" applyAlignment="1" applyProtection="1">
      <alignment horizontal="center"/>
      <protection hidden="1"/>
    </xf>
    <xf numFmtId="0" fontId="11" fillId="3" borderId="1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locked="0"/>
    </xf>
    <xf numFmtId="0" fontId="16" fillId="3" borderId="5" xfId="0" applyFont="1" applyFill="1" applyBorder="1" applyProtection="1">
      <protection hidden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" fontId="2" fillId="3" borderId="0" xfId="0" applyNumberFormat="1" applyFont="1" applyFill="1" applyBorder="1" applyAlignment="1" applyProtection="1">
      <alignment vertical="center"/>
      <protection hidden="1"/>
    </xf>
    <xf numFmtId="165" fontId="2" fillId="3" borderId="0" xfId="2" applyNumberFormat="1" applyFont="1" applyFill="1" applyBorder="1" applyProtection="1">
      <protection hidden="1"/>
    </xf>
    <xf numFmtId="165" fontId="2" fillId="3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center" vertical="center"/>
      <protection hidden="1"/>
    </xf>
    <xf numFmtId="165" fontId="1" fillId="0" borderId="0" xfId="2" applyNumberFormat="1" applyFont="1" applyFill="1" applyBorder="1" applyProtection="1">
      <protection hidden="1"/>
    </xf>
    <xf numFmtId="164" fontId="2" fillId="0" borderId="0" xfId="2" applyFont="1" applyBorder="1" applyAlignment="1" applyProtection="1">
      <alignment vertical="center"/>
      <protection hidden="1"/>
    </xf>
    <xf numFmtId="4" fontId="2" fillId="0" borderId="0" xfId="2" applyNumberFormat="1" applyFont="1" applyBorder="1" applyProtection="1">
      <protection hidden="1"/>
    </xf>
    <xf numFmtId="172" fontId="2" fillId="0" borderId="0" xfId="2" applyNumberFormat="1" applyFont="1" applyBorder="1" applyProtection="1">
      <protection hidden="1"/>
    </xf>
    <xf numFmtId="172" fontId="1" fillId="3" borderId="0" xfId="2" applyNumberFormat="1" applyFont="1" applyFill="1" applyBorder="1" applyProtection="1">
      <protection hidden="1"/>
    </xf>
    <xf numFmtId="49" fontId="6" fillId="3" borderId="8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165" fontId="2" fillId="3" borderId="14" xfId="2" applyNumberFormat="1" applyFont="1" applyFill="1" applyBorder="1" applyAlignment="1" applyProtection="1">
      <alignment horizontal="center" vertical="center"/>
      <protection hidden="1"/>
    </xf>
    <xf numFmtId="165" fontId="2" fillId="3" borderId="11" xfId="2" applyNumberFormat="1" applyFont="1" applyFill="1" applyBorder="1" applyAlignment="1" applyProtection="1">
      <alignment vertical="center"/>
      <protection hidden="1"/>
    </xf>
    <xf numFmtId="173" fontId="2" fillId="3" borderId="2" xfId="2" applyNumberFormat="1" applyFont="1" applyFill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right" vertical="center"/>
      <protection hidden="1"/>
    </xf>
    <xf numFmtId="0" fontId="17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Border="1" applyProtection="1">
      <protection hidden="1"/>
    </xf>
    <xf numFmtId="49" fontId="2" fillId="3" borderId="21" xfId="2" applyNumberFormat="1" applyFont="1" applyFill="1" applyBorder="1" applyAlignment="1" applyProtection="1">
      <alignment horizontal="left"/>
      <protection hidden="1"/>
    </xf>
    <xf numFmtId="0" fontId="4" fillId="4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189" fontId="11" fillId="0" borderId="4" xfId="0" applyNumberFormat="1" applyFont="1" applyBorder="1" applyAlignment="1">
      <alignment horizontal="center" vertical="center" wrapText="1"/>
    </xf>
    <xf numFmtId="189" fontId="2" fillId="0" borderId="4" xfId="0" applyNumberFormat="1" applyFont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14" xfId="0" applyNumberFormat="1" applyFont="1" applyFill="1" applyBorder="1" applyAlignment="1" applyProtection="1">
      <alignment horizontal="left" vertical="center"/>
      <protection hidden="1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8" borderId="25" xfId="0" applyFont="1" applyFill="1" applyBorder="1"/>
    <xf numFmtId="0" fontId="2" fillId="8" borderId="25" xfId="0" applyFont="1" applyFill="1" applyBorder="1" applyProtection="1">
      <protection locked="0"/>
    </xf>
    <xf numFmtId="0" fontId="2" fillId="8" borderId="26" xfId="0" applyFont="1" applyFill="1" applyBorder="1" applyProtection="1">
      <protection locked="0"/>
    </xf>
    <xf numFmtId="184" fontId="11" fillId="8" borderId="1" xfId="0" applyNumberFormat="1" applyFont="1" applyFill="1" applyBorder="1"/>
    <xf numFmtId="0" fontId="17" fillId="0" borderId="0" xfId="0" applyFont="1" applyBorder="1" applyProtection="1">
      <protection hidden="1"/>
    </xf>
    <xf numFmtId="0" fontId="17" fillId="3" borderId="5" xfId="0" applyFont="1" applyFill="1" applyBorder="1" applyAlignment="1" applyProtection="1">
      <alignment vertical="center"/>
      <protection hidden="1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/>
    <xf numFmtId="0" fontId="6" fillId="3" borderId="14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4" fontId="2" fillId="2" borderId="14" xfId="0" applyNumberFormat="1" applyFont="1" applyFill="1" applyBorder="1" applyAlignment="1" applyProtection="1">
      <alignment horizontal="center" vertical="center"/>
      <protection locked="0"/>
    </xf>
    <xf numFmtId="4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181" fontId="11" fillId="2" borderId="14" xfId="0" applyNumberFormat="1" applyFont="1" applyFill="1" applyBorder="1" applyAlignment="1" applyProtection="1">
      <alignment horizontal="center" vertical="center"/>
      <protection locked="0"/>
    </xf>
    <xf numFmtId="18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9" fillId="0" borderId="11" xfId="0" applyNumberFormat="1" applyFont="1" applyBorder="1" applyAlignment="1" applyProtection="1">
      <alignment horizontal="center" vertical="center" textRotation="90"/>
      <protection hidden="1"/>
    </xf>
    <xf numFmtId="0" fontId="9" fillId="0" borderId="13" xfId="0" applyNumberFormat="1" applyFont="1" applyBorder="1" applyAlignment="1" applyProtection="1">
      <alignment horizontal="center" vertical="center" textRotation="90"/>
      <protection hidden="1"/>
    </xf>
    <xf numFmtId="0" fontId="9" fillId="0" borderId="2" xfId="0" applyNumberFormat="1" applyFont="1" applyBorder="1" applyAlignment="1" applyProtection="1">
      <alignment horizontal="center" vertical="center" textRotation="90"/>
      <protection hidden="1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186" fontId="6" fillId="3" borderId="14" xfId="0" applyNumberFormat="1" applyFont="1" applyFill="1" applyBorder="1" applyAlignment="1" applyProtection="1">
      <alignment horizontal="left" vertical="center"/>
      <protection hidden="1"/>
    </xf>
    <xf numFmtId="186" fontId="6" fillId="3" borderId="8" xfId="0" applyNumberFormat="1" applyFont="1" applyFill="1" applyBorder="1" applyAlignment="1" applyProtection="1">
      <alignment horizontal="left" vertical="center"/>
      <protection hidden="1"/>
    </xf>
    <xf numFmtId="186" fontId="6" fillId="3" borderId="15" xfId="0" applyNumberFormat="1" applyFont="1" applyFill="1" applyBorder="1" applyAlignment="1" applyProtection="1">
      <alignment horizontal="left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174" fontId="2" fillId="2" borderId="14" xfId="0" applyNumberFormat="1" applyFont="1" applyFill="1" applyBorder="1" applyAlignment="1" applyProtection="1">
      <alignment horizontal="center" vertical="center"/>
      <protection locked="0"/>
    </xf>
    <xf numFmtId="174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4" xfId="2" applyNumberFormat="1" applyFont="1" applyFill="1" applyBorder="1" applyAlignment="1" applyProtection="1">
      <alignment horizontal="left"/>
      <protection locked="0"/>
    </xf>
    <xf numFmtId="49" fontId="2" fillId="2" borderId="8" xfId="2" applyNumberFormat="1" applyFont="1" applyFill="1" applyBorder="1" applyAlignment="1" applyProtection="1">
      <alignment horizontal="left"/>
      <protection locked="0"/>
    </xf>
    <xf numFmtId="49" fontId="2" fillId="2" borderId="15" xfId="2" applyNumberFormat="1" applyFont="1" applyFill="1" applyBorder="1" applyAlignment="1" applyProtection="1">
      <alignment horizontal="left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165" fontId="8" fillId="3" borderId="8" xfId="2" applyNumberFormat="1" applyFont="1" applyFill="1" applyBorder="1" applyAlignment="1" applyProtection="1">
      <alignment horizontal="right" vertical="center"/>
      <protection hidden="1"/>
    </xf>
    <xf numFmtId="165" fontId="8" fillId="3" borderId="15" xfId="2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65" fontId="2" fillId="2" borderId="14" xfId="2" applyNumberFormat="1" applyFont="1" applyFill="1" applyBorder="1" applyAlignment="1" applyProtection="1">
      <alignment horizontal="center" vertical="center"/>
      <protection locked="0"/>
    </xf>
    <xf numFmtId="165" fontId="2" fillId="2" borderId="15" xfId="2" applyNumberFormat="1" applyFont="1" applyFill="1" applyBorder="1" applyAlignment="1" applyProtection="1">
      <alignment horizontal="center" vertical="center"/>
      <protection locked="0"/>
    </xf>
    <xf numFmtId="193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193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93" fontId="6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0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85" fontId="6" fillId="3" borderId="14" xfId="0" applyNumberFormat="1" applyFont="1" applyFill="1" applyBorder="1" applyAlignment="1" applyProtection="1">
      <alignment horizontal="left" vertical="center"/>
      <protection hidden="1"/>
    </xf>
    <xf numFmtId="185" fontId="6" fillId="3" borderId="8" xfId="0" applyNumberFormat="1" applyFont="1" applyFill="1" applyBorder="1" applyAlignment="1" applyProtection="1">
      <alignment horizontal="left" vertical="center"/>
      <protection hidden="1"/>
    </xf>
    <xf numFmtId="185" fontId="6" fillId="3" borderId="15" xfId="0" applyNumberFormat="1" applyFont="1" applyFill="1" applyBorder="1" applyAlignment="1" applyProtection="1">
      <alignment horizontal="left" vertical="center"/>
      <protection hidden="1"/>
    </xf>
    <xf numFmtId="4" fontId="2" fillId="3" borderId="8" xfId="0" applyNumberFormat="1" applyFont="1" applyFill="1" applyBorder="1" applyAlignment="1" applyProtection="1">
      <alignment horizontal="center" vertical="center"/>
      <protection hidden="1"/>
    </xf>
    <xf numFmtId="4" fontId="2" fillId="3" borderId="15" xfId="0" applyNumberFormat="1" applyFont="1" applyFill="1" applyBorder="1" applyAlignment="1" applyProtection="1">
      <alignment horizontal="center" vertical="center"/>
      <protection hidden="1"/>
    </xf>
    <xf numFmtId="49" fontId="2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horizontal="left" vertical="center"/>
      <protection hidden="1"/>
    </xf>
    <xf numFmtId="49" fontId="2" fillId="3" borderId="14" xfId="0" applyNumberFormat="1" applyFont="1" applyFill="1" applyBorder="1" applyAlignment="1" applyProtection="1">
      <alignment horizontal="left" vertical="center"/>
      <protection hidden="1"/>
    </xf>
    <xf numFmtId="49" fontId="2" fillId="3" borderId="15" xfId="0" applyNumberFormat="1" applyFont="1" applyFill="1" applyBorder="1" applyAlignment="1" applyProtection="1">
      <alignment horizontal="left" vertical="center"/>
      <protection hidden="1"/>
    </xf>
    <xf numFmtId="49" fontId="6" fillId="3" borderId="14" xfId="0" applyNumberFormat="1" applyFont="1" applyFill="1" applyBorder="1" applyAlignment="1" applyProtection="1">
      <alignment horizontal="left" vertical="center"/>
      <protection hidden="1"/>
    </xf>
    <xf numFmtId="49" fontId="6" fillId="3" borderId="8" xfId="0" applyNumberFormat="1" applyFont="1" applyFill="1" applyBorder="1" applyAlignment="1" applyProtection="1">
      <alignment horizontal="left" vertical="center"/>
      <protection hidden="1"/>
    </xf>
    <xf numFmtId="178" fontId="2" fillId="3" borderId="0" xfId="0" applyNumberFormat="1" applyFont="1" applyFill="1" applyBorder="1" applyProtection="1"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13" xfId="0" applyFont="1" applyBorder="1" applyAlignment="1" applyProtection="1">
      <alignment horizontal="center" vertical="center" textRotation="90"/>
      <protection hidden="1"/>
    </xf>
    <xf numFmtId="0" fontId="6" fillId="0" borderId="2" xfId="0" applyFont="1" applyBorder="1" applyAlignment="1" applyProtection="1">
      <alignment horizontal="center" vertical="center" textRotation="90"/>
      <protection hidden="1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Protection="1"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194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194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94" fontId="6" fillId="3" borderId="15" xfId="0" applyNumberFormat="1" applyFont="1" applyFill="1" applyBorder="1" applyAlignment="1" applyProtection="1">
      <alignment horizontal="left" vertical="center" wrapText="1"/>
      <protection hidden="1"/>
    </xf>
    <xf numFmtId="171" fontId="2" fillId="2" borderId="14" xfId="0" applyNumberFormat="1" applyFont="1" applyFill="1" applyBorder="1" applyAlignment="1" applyProtection="1">
      <alignment horizontal="center" vertical="center"/>
      <protection locked="0"/>
    </xf>
    <xf numFmtId="17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Protection="1">
      <protection hidden="1"/>
    </xf>
    <xf numFmtId="170" fontId="2" fillId="2" borderId="14" xfId="0" applyNumberFormat="1" applyFont="1" applyFill="1" applyBorder="1" applyAlignment="1" applyProtection="1">
      <alignment horizontal="center" vertical="center"/>
      <protection locked="0"/>
    </xf>
    <xf numFmtId="170" fontId="2" fillId="2" borderId="15" xfId="0" applyNumberFormat="1" applyFont="1" applyFill="1" applyBorder="1" applyAlignment="1" applyProtection="1">
      <alignment horizontal="center" vertical="center"/>
      <protection locked="0"/>
    </xf>
    <xf numFmtId="166" fontId="2" fillId="2" borderId="14" xfId="0" applyNumberFormat="1" applyFont="1" applyFill="1" applyBorder="1" applyAlignment="1" applyProtection="1">
      <alignment horizontal="center" vertical="center"/>
      <protection locked="0"/>
    </xf>
    <xf numFmtId="166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2" fillId="2" borderId="14" xfId="0" applyNumberFormat="1" applyFont="1" applyFill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vertical="center"/>
      <protection hidden="1"/>
    </xf>
    <xf numFmtId="0" fontId="6" fillId="3" borderId="8" xfId="0" applyNumberFormat="1" applyFont="1" applyFill="1" applyBorder="1" applyAlignment="1" applyProtection="1">
      <alignment vertical="center"/>
      <protection hidden="1"/>
    </xf>
    <xf numFmtId="0" fontId="6" fillId="3" borderId="15" xfId="0" applyNumberFormat="1" applyFont="1" applyFill="1" applyBorder="1" applyAlignment="1" applyProtection="1">
      <alignment vertical="center"/>
      <protection hidden="1"/>
    </xf>
    <xf numFmtId="170" fontId="2" fillId="2" borderId="12" xfId="0" applyNumberFormat="1" applyFont="1" applyFill="1" applyBorder="1" applyAlignment="1" applyProtection="1">
      <alignment horizontal="center" vertical="center"/>
      <protection locked="0"/>
    </xf>
    <xf numFmtId="17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textRotation="90"/>
    </xf>
    <xf numFmtId="180" fontId="1" fillId="3" borderId="8" xfId="0" applyNumberFormat="1" applyFont="1" applyFill="1" applyBorder="1" applyAlignment="1" applyProtection="1">
      <alignment horizontal="right" vertical="center"/>
      <protection hidden="1"/>
    </xf>
    <xf numFmtId="170" fontId="2" fillId="3" borderId="14" xfId="2" applyNumberFormat="1" applyFont="1" applyFill="1" applyBorder="1" applyAlignment="1" applyProtection="1">
      <alignment horizontal="center" vertical="center"/>
      <protection hidden="1"/>
    </xf>
    <xf numFmtId="170" fontId="2" fillId="3" borderId="15" xfId="2" applyNumberFormat="1" applyFont="1" applyFill="1" applyBorder="1" applyAlignment="1" applyProtection="1">
      <alignment horizontal="center" vertical="center"/>
      <protection hidden="1"/>
    </xf>
    <xf numFmtId="165" fontId="2" fillId="3" borderId="0" xfId="0" applyNumberFormat="1" applyFont="1" applyFill="1" applyBorder="1" applyAlignment="1" applyProtection="1">
      <alignment horizontal="center" vertical="center"/>
      <protection hidden="1"/>
    </xf>
    <xf numFmtId="165" fontId="2" fillId="3" borderId="3" xfId="0" applyNumberFormat="1" applyFont="1" applyFill="1" applyBorder="1" applyAlignment="1" applyProtection="1">
      <alignment horizontal="center" vertical="center"/>
      <protection hidden="1"/>
    </xf>
    <xf numFmtId="170" fontId="2" fillId="2" borderId="14" xfId="2" applyNumberFormat="1" applyFont="1" applyFill="1" applyBorder="1" applyAlignment="1" applyProtection="1">
      <alignment horizontal="center" vertical="center"/>
      <protection locked="0"/>
    </xf>
    <xf numFmtId="170" fontId="2" fillId="2" borderId="15" xfId="2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165" fontId="2" fillId="3" borderId="14" xfId="2" applyNumberFormat="1" applyFont="1" applyFill="1" applyBorder="1" applyAlignment="1" applyProtection="1">
      <alignment horizontal="right" vertical="center"/>
      <protection hidden="1"/>
    </xf>
    <xf numFmtId="165" fontId="2" fillId="3" borderId="8" xfId="2" applyNumberFormat="1" applyFont="1" applyFill="1" applyBorder="1" applyAlignment="1" applyProtection="1">
      <alignment horizontal="right" vertical="center"/>
      <protection hidden="1"/>
    </xf>
    <xf numFmtId="165" fontId="2" fillId="3" borderId="15" xfId="2" applyNumberFormat="1" applyFont="1" applyFill="1" applyBorder="1" applyAlignment="1" applyProtection="1">
      <alignment horizontal="right" vertical="center"/>
      <protection hidden="1"/>
    </xf>
    <xf numFmtId="165" fontId="2" fillId="3" borderId="8" xfId="0" applyNumberFormat="1" applyFont="1" applyFill="1" applyBorder="1" applyAlignment="1" applyProtection="1">
      <alignment vertic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0" borderId="14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15" xfId="0" applyFont="1" applyBorder="1" applyProtection="1">
      <protection hidden="1"/>
    </xf>
    <xf numFmtId="191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191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91" fontId="6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165" fontId="2" fillId="3" borderId="14" xfId="2" applyNumberFormat="1" applyFont="1" applyFill="1" applyBorder="1" applyAlignment="1" applyProtection="1">
      <alignment horizontal="center" vertical="center"/>
      <protection hidden="1"/>
    </xf>
    <xf numFmtId="165" fontId="2" fillId="3" borderId="15" xfId="2" applyNumberFormat="1" applyFont="1" applyFill="1" applyBorder="1" applyAlignment="1" applyProtection="1">
      <alignment horizontal="center" vertical="center"/>
      <protection hidden="1"/>
    </xf>
    <xf numFmtId="175" fontId="11" fillId="3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NumberFormat="1" applyFont="1" applyFill="1" applyBorder="1" applyAlignment="1" applyProtection="1">
      <alignment horizontal="left" vertical="center"/>
      <protection locked="0"/>
    </xf>
    <xf numFmtId="167" fontId="2" fillId="3" borderId="14" xfId="0" applyNumberFormat="1" applyFont="1" applyFill="1" applyBorder="1" applyAlignment="1" applyProtection="1">
      <alignment horizontal="center" vertical="center"/>
      <protection hidden="1"/>
    </xf>
    <xf numFmtId="167" fontId="2" fillId="3" borderId="15" xfId="0" applyNumberFormat="1" applyFont="1" applyFill="1" applyBorder="1" applyAlignment="1" applyProtection="1">
      <alignment horizontal="center" vertical="center"/>
      <protection hidden="1"/>
    </xf>
    <xf numFmtId="187" fontId="6" fillId="3" borderId="14" xfId="0" applyNumberFormat="1" applyFont="1" applyFill="1" applyBorder="1" applyAlignment="1" applyProtection="1">
      <alignment horizontal="left" vertical="center"/>
      <protection hidden="1"/>
    </xf>
    <xf numFmtId="187" fontId="6" fillId="3" borderId="8" xfId="0" applyNumberFormat="1" applyFont="1" applyFill="1" applyBorder="1" applyAlignment="1" applyProtection="1">
      <alignment horizontal="left" vertical="center"/>
      <protection hidden="1"/>
    </xf>
    <xf numFmtId="187" fontId="6" fillId="3" borderId="15" xfId="0" applyNumberFormat="1" applyFont="1" applyFill="1" applyBorder="1" applyAlignment="1" applyProtection="1">
      <alignment horizontal="left" vertical="center"/>
      <protection hidden="1"/>
    </xf>
    <xf numFmtId="190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190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90" fontId="6" fillId="3" borderId="15" xfId="0" applyNumberFormat="1" applyFont="1" applyFill="1" applyBorder="1" applyAlignment="1" applyProtection="1">
      <alignment horizontal="left" vertical="center" wrapText="1"/>
      <protection hidden="1"/>
    </xf>
    <xf numFmtId="192" fontId="6" fillId="3" borderId="14" xfId="0" applyNumberFormat="1" applyFont="1" applyFill="1" applyBorder="1" applyAlignment="1" applyProtection="1">
      <alignment horizontal="left" vertical="center" wrapText="1"/>
      <protection hidden="1"/>
    </xf>
    <xf numFmtId="192" fontId="6" fillId="3" borderId="8" xfId="0" applyNumberFormat="1" applyFont="1" applyFill="1" applyBorder="1" applyAlignment="1" applyProtection="1">
      <alignment horizontal="left" vertical="center" wrapText="1"/>
      <protection hidden="1"/>
    </xf>
    <xf numFmtId="192" fontId="6" fillId="3" borderId="15" xfId="0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2" applyNumberFormat="1" applyFont="1" applyBorder="1" applyAlignment="1" applyProtection="1">
      <alignment horizontal="right" vertical="center"/>
      <protection hidden="1"/>
    </xf>
    <xf numFmtId="165" fontId="8" fillId="0" borderId="15" xfId="2" applyNumberFormat="1" applyFont="1" applyBorder="1" applyAlignment="1" applyProtection="1">
      <alignment horizontal="right" vertical="center"/>
      <protection hidden="1"/>
    </xf>
    <xf numFmtId="165" fontId="2" fillId="3" borderId="14" xfId="0" applyNumberFormat="1" applyFont="1" applyFill="1" applyBorder="1" applyAlignment="1" applyProtection="1">
      <alignment horizontal="center" vertical="center"/>
      <protection hidden="1"/>
    </xf>
    <xf numFmtId="165" fontId="2" fillId="3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188" fontId="6" fillId="3" borderId="14" xfId="0" applyNumberFormat="1" applyFont="1" applyFill="1" applyBorder="1" applyAlignment="1" applyProtection="1">
      <alignment horizontal="left" vertical="center"/>
      <protection hidden="1"/>
    </xf>
    <xf numFmtId="188" fontId="2" fillId="3" borderId="8" xfId="0" applyNumberFormat="1" applyFont="1" applyFill="1" applyBorder="1" applyAlignment="1" applyProtection="1">
      <alignment horizontal="left" vertical="center"/>
      <protection hidden="1"/>
    </xf>
    <xf numFmtId="188" fontId="2" fillId="3" borderId="15" xfId="0" applyNumberFormat="1" applyFont="1" applyFill="1" applyBorder="1" applyAlignment="1" applyProtection="1">
      <alignment horizontal="left" vertical="center"/>
      <protection hidden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textRotation="90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  <xf numFmtId="169" fontId="8" fillId="3" borderId="8" xfId="0" applyNumberFormat="1" applyFont="1" applyFill="1" applyBorder="1" applyAlignment="1" applyProtection="1">
      <alignment horizontal="right" vertical="center"/>
      <protection hidden="1"/>
    </xf>
    <xf numFmtId="169" fontId="8" fillId="3" borderId="15" xfId="0" applyNumberFormat="1" applyFont="1" applyFill="1" applyBorder="1" applyAlignment="1" applyProtection="1">
      <alignment horizontal="right" vertical="center"/>
      <protection hidden="1"/>
    </xf>
    <xf numFmtId="174" fontId="2" fillId="2" borderId="9" xfId="0" applyNumberFormat="1" applyFont="1" applyFill="1" applyBorder="1" applyAlignment="1" applyProtection="1">
      <alignment horizontal="center" vertical="center"/>
      <protection locked="0"/>
    </xf>
    <xf numFmtId="174" fontId="2" fillId="2" borderId="10" xfId="0" applyNumberFormat="1" applyFont="1" applyFill="1" applyBorder="1" applyAlignment="1" applyProtection="1">
      <alignment horizontal="center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5" dropStyle="combo" dx="16" fmlaLink="$U$85" fmlaRange="$R$85:$R$89" noThreeD="1" sel="5" val="0"/>
</file>

<file path=xl/ctrlProps/ctrlProp10.xml><?xml version="1.0" encoding="utf-8"?>
<formControlPr xmlns="http://schemas.microsoft.com/office/spreadsheetml/2009/9/main" objectType="CheckBox" fmlaLink="$W$28" lockText="1" noThreeD="1"/>
</file>

<file path=xl/ctrlProps/ctrlProp11.xml><?xml version="1.0" encoding="utf-8"?>
<formControlPr xmlns="http://schemas.microsoft.com/office/spreadsheetml/2009/9/main" objectType="Drop" dropLines="2" dropStyle="combo" dx="16" fmlaLink="$R$40" fmlaRange="$R$36:$R$37" noThreeD="1" sel="2" val="0"/>
</file>

<file path=xl/ctrlProps/ctrlProp2.xml><?xml version="1.0" encoding="utf-8"?>
<formControlPr xmlns="http://schemas.microsoft.com/office/spreadsheetml/2009/9/main" objectType="Drop" dropLines="5" dropStyle="combo" dx="16" fmlaLink="$U$86" fmlaRange="$R$85:$R$89" noThreeD="1" sel="3" val="0"/>
</file>

<file path=xl/ctrlProps/ctrlProp3.xml><?xml version="1.0" encoding="utf-8"?>
<formControlPr xmlns="http://schemas.microsoft.com/office/spreadsheetml/2009/9/main" objectType="Drop" dropLines="5" dropStyle="combo" dx="16" fmlaLink="$U$87" fmlaRange="$R$85:$R$89" noThreeD="1" sel="1" val="0"/>
</file>

<file path=xl/ctrlProps/ctrlProp4.xml><?xml version="1.0" encoding="utf-8"?>
<formControlPr xmlns="http://schemas.microsoft.com/office/spreadsheetml/2009/9/main" objectType="Drop" dropLines="5" dropStyle="combo" dx="16" fmlaLink="$U$88" fmlaRange="$R$85:$R$89" noThreeD="1" sel="4" val="0"/>
</file>

<file path=xl/ctrlProps/ctrlProp5.xml><?xml version="1.0" encoding="utf-8"?>
<formControlPr xmlns="http://schemas.microsoft.com/office/spreadsheetml/2009/9/main" objectType="Drop" dropLines="5" dropStyle="combo" dx="16" fmlaLink="$U$89" fmlaRange="$R$85:$R$89" noThreeD="1" sel="2" val="0"/>
</file>

<file path=xl/ctrlProps/ctrlProp6.xml><?xml version="1.0" encoding="utf-8"?>
<formControlPr xmlns="http://schemas.microsoft.com/office/spreadsheetml/2009/9/main" objectType="Drop" dropLines="5" dropStyle="combo" dx="16" fmlaLink="$U$94" fmlaRange="$R$85:$R$89" noThreeD="1" sel="0" val="0"/>
</file>

<file path=xl/ctrlProps/ctrlProp7.xml><?xml version="1.0" encoding="utf-8"?>
<formControlPr xmlns="http://schemas.microsoft.com/office/spreadsheetml/2009/9/main" objectType="CheckBox" fmlaLink="$T$28" lockText="1" noThreeD="1"/>
</file>

<file path=xl/ctrlProps/ctrlProp8.xml><?xml version="1.0" encoding="utf-8"?>
<formControlPr xmlns="http://schemas.microsoft.com/office/spreadsheetml/2009/9/main" objectType="CheckBox" fmlaLink="$U$28" lockText="1" noThreeD="1"/>
</file>

<file path=xl/ctrlProps/ctrlProp9.xml><?xml version="1.0" encoding="utf-8"?>
<formControlPr xmlns="http://schemas.microsoft.com/office/spreadsheetml/2009/9/main" objectType="CheckBox" fmlaLink="$V$2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0</xdr:rowOff>
        </xdr:from>
        <xdr:to>
          <xdr:col>5</xdr:col>
          <xdr:colOff>190500</xdr:colOff>
          <xdr:row>53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0</xdr:rowOff>
        </xdr:from>
        <xdr:to>
          <xdr:col>5</xdr:col>
          <xdr:colOff>200025</xdr:colOff>
          <xdr:row>54</xdr:row>
          <xdr:rowOff>9525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0</xdr:rowOff>
        </xdr:from>
        <xdr:to>
          <xdr:col>5</xdr:col>
          <xdr:colOff>200025</xdr:colOff>
          <xdr:row>55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0</xdr:rowOff>
        </xdr:from>
        <xdr:to>
          <xdr:col>5</xdr:col>
          <xdr:colOff>200025</xdr:colOff>
          <xdr:row>56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0</xdr:rowOff>
        </xdr:from>
        <xdr:to>
          <xdr:col>5</xdr:col>
          <xdr:colOff>200025</xdr:colOff>
          <xdr:row>57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0</xdr:rowOff>
        </xdr:from>
        <xdr:to>
          <xdr:col>6</xdr:col>
          <xdr:colOff>0</xdr:colOff>
          <xdr:row>58</xdr:row>
          <xdr:rowOff>9525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47625</xdr:rowOff>
        </xdr:from>
        <xdr:to>
          <xdr:col>4</xdr:col>
          <xdr:colOff>552450</xdr:colOff>
          <xdr:row>21</xdr:row>
          <xdr:rowOff>171450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Mod.-Maßnahme 70 %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38100</xdr:rowOff>
        </xdr:from>
        <xdr:to>
          <xdr:col>4</xdr:col>
          <xdr:colOff>552450</xdr:colOff>
          <xdr:row>23</xdr:row>
          <xdr:rowOff>161925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Mod.-Maßnahme 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21</xdr:row>
          <xdr:rowOff>0</xdr:rowOff>
        </xdr:from>
        <xdr:to>
          <xdr:col>10</xdr:col>
          <xdr:colOff>219075</xdr:colOff>
          <xdr:row>22</xdr:row>
          <xdr:rowOff>28575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Mod.-Maßn. städtebaulich relevant. Gebäude 150 %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23</xdr:row>
          <xdr:rowOff>0</xdr:rowOff>
        </xdr:from>
        <xdr:to>
          <xdr:col>10</xdr:col>
          <xdr:colOff>38100</xdr:colOff>
          <xdr:row>24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Mod.-Maßn. Gebäude unter Denkmalschutz 200 %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0</xdr:rowOff>
        </xdr:from>
        <xdr:to>
          <xdr:col>14</xdr:col>
          <xdr:colOff>0</xdr:colOff>
          <xdr:row>6</xdr:row>
          <xdr:rowOff>219075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424543</xdr:colOff>
      <xdr:row>0</xdr:row>
      <xdr:rowOff>97972</xdr:rowOff>
    </xdr:from>
    <xdr:to>
      <xdr:col>7</xdr:col>
      <xdr:colOff>326571</xdr:colOff>
      <xdr:row>18</xdr:row>
      <xdr:rowOff>76670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314" y="97972"/>
          <a:ext cx="4604657" cy="281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P135"/>
  <sheetViews>
    <sheetView tabSelected="1" topLeftCell="A54" workbookViewId="0">
      <selection activeCell="AM79" sqref="AM79"/>
    </sheetView>
  </sheetViews>
  <sheetFormatPr baseColWidth="10" defaultColWidth="12" defaultRowHeight="11.25"/>
  <cols>
    <col min="1" max="1" width="1" style="2" customWidth="1"/>
    <col min="2" max="2" width="3.5703125" style="2" customWidth="1"/>
    <col min="3" max="3" width="3.140625" style="2" customWidth="1"/>
    <col min="4" max="4" width="11.85546875" style="2" customWidth="1"/>
    <col min="5" max="5" width="19" style="2" customWidth="1"/>
    <col min="6" max="6" width="3.140625" style="2" customWidth="1"/>
    <col min="7" max="7" width="8" style="2" customWidth="1"/>
    <col min="8" max="8" width="6.85546875" style="2" customWidth="1"/>
    <col min="9" max="9" width="7.5703125" style="2" customWidth="1"/>
    <col min="10" max="10" width="3.5703125" style="2" customWidth="1"/>
    <col min="11" max="11" width="12.85546875" style="2" customWidth="1"/>
    <col min="12" max="12" width="2.140625" style="2" customWidth="1"/>
    <col min="13" max="13" width="15" style="2" customWidth="1"/>
    <col min="14" max="14" width="1.42578125" style="2" customWidth="1"/>
    <col min="15" max="15" width="1.28515625" style="2" customWidth="1"/>
    <col min="16" max="16" width="0.85546875" style="2" customWidth="1"/>
    <col min="17" max="17" width="3.28515625" style="2" hidden="1" customWidth="1"/>
    <col min="18" max="18" width="16.5703125" style="2" hidden="1" customWidth="1"/>
    <col min="19" max="19" width="7.7109375" style="2" hidden="1" customWidth="1"/>
    <col min="20" max="20" width="3.7109375" style="2" hidden="1" customWidth="1"/>
    <col min="21" max="21" width="4.42578125" style="2" hidden="1" customWidth="1"/>
    <col min="22" max="22" width="3.7109375" style="2" hidden="1" customWidth="1"/>
    <col min="23" max="23" width="14.42578125" style="2" hidden="1" customWidth="1"/>
    <col min="24" max="24" width="19" style="2" hidden="1" customWidth="1"/>
    <col min="25" max="25" width="3.140625" style="2" hidden="1" customWidth="1"/>
    <col min="26" max="26" width="5.140625" style="2" hidden="1" customWidth="1"/>
    <col min="27" max="27" width="13.5703125" style="2" hidden="1" customWidth="1"/>
    <col min="28" max="28" width="11" style="2" hidden="1" customWidth="1"/>
    <col min="29" max="29" width="11.7109375" style="2" hidden="1" customWidth="1"/>
    <col min="30" max="30" width="8" style="2" hidden="1" customWidth="1"/>
    <col min="31" max="31" width="14.140625" style="2" hidden="1" customWidth="1"/>
    <col min="32" max="32" width="13.5703125" style="2" hidden="1" customWidth="1"/>
    <col min="33" max="33" width="10.28515625" style="2" hidden="1" customWidth="1"/>
    <col min="34" max="34" width="15.140625" style="2" hidden="1" customWidth="1"/>
    <col min="35" max="35" width="18.85546875" style="2" hidden="1" customWidth="1"/>
    <col min="36" max="37" width="12" style="2" customWidth="1"/>
    <col min="38" max="16384" width="12" style="2"/>
  </cols>
  <sheetData>
    <row r="1" spans="1:35" s="1" customFormat="1" ht="26.1" customHeight="1">
      <c r="B1" s="357">
        <v>2023</v>
      </c>
      <c r="C1" s="422" t="s">
        <v>102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  <c r="O1" s="296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</row>
    <row r="2" spans="1:35" s="1" customFormat="1" ht="10.5" customHeight="1">
      <c r="A2" s="60"/>
      <c r="B2" s="358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/>
      <c r="O2" s="296"/>
    </row>
    <row r="3" spans="1:35" s="1" customFormat="1" ht="15.75" hidden="1" customHeight="1">
      <c r="A3" s="60"/>
      <c r="B3" s="358"/>
      <c r="C3" s="15"/>
      <c r="D3" s="16"/>
      <c r="E3" s="16">
        <v>2</v>
      </c>
      <c r="F3" s="16"/>
      <c r="G3" s="16"/>
      <c r="H3" s="16"/>
      <c r="I3" s="16"/>
      <c r="J3" s="15">
        <v>1</v>
      </c>
      <c r="K3" s="16"/>
      <c r="L3" s="7"/>
      <c r="M3" s="32"/>
      <c r="N3" s="23"/>
      <c r="O3" s="296"/>
    </row>
    <row r="4" spans="1:35" ht="15" customHeight="1">
      <c r="A4" s="138"/>
      <c r="B4" s="358"/>
      <c r="C4" s="222" t="s">
        <v>0</v>
      </c>
      <c r="D4" s="222"/>
      <c r="E4" s="222"/>
      <c r="F4" s="222"/>
      <c r="G4" s="222"/>
      <c r="H4" s="221" t="s">
        <v>1</v>
      </c>
      <c r="I4" s="222"/>
      <c r="J4" s="222"/>
      <c r="K4" s="222"/>
      <c r="L4" s="18"/>
      <c r="M4" s="85"/>
      <c r="N4" s="19"/>
      <c r="O4" s="296"/>
      <c r="R4" s="181"/>
    </row>
    <row r="5" spans="1:35" ht="18" customHeight="1">
      <c r="A5" s="138"/>
      <c r="B5" s="358"/>
      <c r="C5" s="360"/>
      <c r="D5" s="361"/>
      <c r="E5" s="361"/>
      <c r="F5" s="361"/>
      <c r="G5" s="362"/>
      <c r="H5" s="360"/>
      <c r="I5" s="361"/>
      <c r="J5" s="361"/>
      <c r="K5" s="361"/>
      <c r="L5" s="361"/>
      <c r="M5" s="361"/>
      <c r="N5" s="362"/>
      <c r="O5" s="296"/>
      <c r="R5" s="294"/>
    </row>
    <row r="6" spans="1:35" ht="17.25" customHeight="1">
      <c r="A6" s="138"/>
      <c r="B6" s="358"/>
      <c r="C6" s="222" t="s">
        <v>101</v>
      </c>
      <c r="D6" s="222"/>
      <c r="E6" s="222"/>
      <c r="F6" s="222"/>
      <c r="G6" s="222"/>
      <c r="H6" s="227" t="s">
        <v>68</v>
      </c>
      <c r="I6" s="343" t="s">
        <v>122</v>
      </c>
      <c r="J6" s="344"/>
      <c r="K6" s="344"/>
      <c r="L6" s="344"/>
      <c r="M6" s="344"/>
      <c r="N6" s="345"/>
      <c r="O6" s="296"/>
      <c r="R6" s="295"/>
      <c r="S6" s="180"/>
    </row>
    <row r="7" spans="1:35" ht="18" customHeight="1">
      <c r="A7" s="138"/>
      <c r="B7" s="359"/>
      <c r="C7" s="360"/>
      <c r="D7" s="361"/>
      <c r="E7" s="361"/>
      <c r="F7" s="361"/>
      <c r="G7" s="362"/>
      <c r="H7" s="226"/>
      <c r="I7" s="363"/>
      <c r="J7" s="364"/>
      <c r="K7" s="364"/>
      <c r="L7" s="364"/>
      <c r="M7" s="435"/>
      <c r="N7" s="436"/>
      <c r="O7" s="296"/>
      <c r="S7" s="180"/>
    </row>
    <row r="8" spans="1:35" ht="5.0999999999999996" customHeight="1">
      <c r="A8" s="13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33"/>
      <c r="R8" s="180"/>
      <c r="S8" s="180"/>
    </row>
    <row r="9" spans="1:35" s="21" customFormat="1" ht="18" customHeight="1">
      <c r="A9" s="139"/>
      <c r="B9" s="192" t="s">
        <v>48</v>
      </c>
      <c r="C9" s="178" t="str">
        <f>IF(R40=1,"Gesamtkosten einer Neubaumaßnahme",IF(R40=2,"Gesamtkosten einer Modernisierungsmaßnahme","Gesamtmaßnahme"))</f>
        <v>Gesamtkosten einer Modernisierungsmaßnahme</v>
      </c>
      <c r="D9" s="39"/>
      <c r="E9" s="39"/>
      <c r="F9" s="39"/>
      <c r="G9" s="39"/>
      <c r="H9" s="340" t="str">
        <f>IF(H7="","Eingabe Baujahr immer erforderlich","")</f>
        <v>Eingabe Baujahr immer erforderlich</v>
      </c>
      <c r="I9" s="39"/>
      <c r="J9" s="39"/>
      <c r="K9" s="39"/>
      <c r="L9" s="39"/>
      <c r="M9" s="107" t="s">
        <v>43</v>
      </c>
      <c r="N9" s="57"/>
      <c r="O9" s="297"/>
      <c r="R9" s="181"/>
      <c r="S9" s="181"/>
      <c r="X9" s="272">
        <f>2500000*0.7</f>
        <v>1750000</v>
      </c>
    </row>
    <row r="10" spans="1:35" s="21" customFormat="1" ht="16.5" customHeight="1">
      <c r="A10" s="139"/>
      <c r="B10" s="105" t="s">
        <v>22</v>
      </c>
      <c r="C10" s="77" t="s">
        <v>125</v>
      </c>
      <c r="D10" s="77"/>
      <c r="E10" s="77"/>
      <c r="F10" s="77"/>
      <c r="G10" s="77"/>
      <c r="H10" s="77"/>
      <c r="I10" s="77"/>
      <c r="J10" s="77"/>
      <c r="K10" s="77"/>
      <c r="L10" s="77"/>
      <c r="M10" s="80"/>
      <c r="N10" s="118"/>
      <c r="O10" s="174"/>
      <c r="R10" s="181"/>
      <c r="S10" s="181"/>
    </row>
    <row r="11" spans="1:35" s="3" customFormat="1" ht="3" customHeight="1">
      <c r="A11" s="140"/>
      <c r="B11" s="193"/>
      <c r="C11" s="16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7"/>
      <c r="O11" s="20"/>
      <c r="R11" s="182"/>
      <c r="S11" s="182"/>
    </row>
    <row r="12" spans="1:35" s="3" customFormat="1" ht="3.75" customHeight="1">
      <c r="A12" s="140"/>
      <c r="B12" s="201"/>
      <c r="C12" s="13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0"/>
      <c r="R12" s="182"/>
      <c r="S12" s="182"/>
    </row>
    <row r="13" spans="1:35" s="3" customFormat="1" ht="5.25" customHeight="1">
      <c r="A13" s="140"/>
      <c r="B13" s="200"/>
      <c r="C13" s="4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59"/>
      <c r="O13" s="20"/>
      <c r="R13" s="182"/>
      <c r="S13" s="182"/>
    </row>
    <row r="14" spans="1:35" s="21" customFormat="1" ht="17.100000000000001" customHeight="1">
      <c r="A14" s="139"/>
      <c r="B14" s="105" t="s">
        <v>32</v>
      </c>
      <c r="C14" s="161" t="s">
        <v>132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118"/>
      <c r="O14" s="174"/>
      <c r="R14" s="179" t="b">
        <v>1</v>
      </c>
      <c r="S14" s="181"/>
    </row>
    <row r="15" spans="1:35" s="21" customFormat="1" ht="17.100000000000001" customHeight="1">
      <c r="A15" s="139"/>
      <c r="B15" s="105" t="s">
        <v>22</v>
      </c>
      <c r="C15" s="77" t="s">
        <v>129</v>
      </c>
      <c r="D15" s="77"/>
      <c r="E15" s="77"/>
      <c r="F15" s="77"/>
      <c r="G15" s="77"/>
      <c r="H15" s="77"/>
      <c r="I15" s="77"/>
      <c r="J15" s="77"/>
      <c r="K15" s="77"/>
      <c r="L15" s="77"/>
      <c r="M15" s="80"/>
      <c r="N15" s="118"/>
      <c r="O15" s="174"/>
      <c r="R15" s="179" t="b">
        <v>0</v>
      </c>
      <c r="S15" s="181"/>
    </row>
    <row r="16" spans="1:35" s="3" customFormat="1" ht="4.5" customHeight="1">
      <c r="A16" s="140"/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4"/>
      <c r="N16" s="262"/>
      <c r="O16" s="34"/>
      <c r="R16" s="182"/>
      <c r="S16" s="182"/>
    </row>
    <row r="17" spans="1:34" s="21" customFormat="1" ht="15" customHeight="1">
      <c r="A17" s="139"/>
      <c r="B17" s="105" t="s">
        <v>23</v>
      </c>
      <c r="C17" s="77" t="s">
        <v>115</v>
      </c>
      <c r="D17" s="77"/>
      <c r="E17" s="77"/>
      <c r="F17" s="77"/>
      <c r="G17" s="77"/>
      <c r="H17" s="77"/>
      <c r="I17" s="77"/>
      <c r="J17" s="77"/>
      <c r="K17" s="77"/>
      <c r="L17" s="77"/>
      <c r="M17" s="80"/>
      <c r="N17" s="118"/>
      <c r="O17" s="174"/>
      <c r="R17" s="179"/>
      <c r="S17" s="181"/>
      <c r="V17" s="274">
        <v>1</v>
      </c>
      <c r="W17" s="207">
        <f>IF(SUM(M17:M18)&gt;=M15,M15,IF(SUM(M17:M18)&lt;=M15,SUM(M17:M18)))</f>
        <v>0</v>
      </c>
      <c r="AA17" s="272">
        <f>W17</f>
        <v>0</v>
      </c>
    </row>
    <row r="18" spans="1:34" s="21" customFormat="1" ht="15" customHeight="1">
      <c r="A18" s="139"/>
      <c r="B18" s="105" t="s">
        <v>24</v>
      </c>
      <c r="C18" s="77" t="s">
        <v>114</v>
      </c>
      <c r="D18" s="77"/>
      <c r="E18" s="77"/>
      <c r="F18" s="77"/>
      <c r="G18" s="77"/>
      <c r="H18" s="353"/>
      <c r="I18" s="354"/>
      <c r="J18" s="104" t="s">
        <v>18</v>
      </c>
      <c r="K18" s="228"/>
      <c r="L18" s="77" t="str">
        <f>"="</f>
        <v>=</v>
      </c>
      <c r="M18" s="117" t="str">
        <f>IF(OR(H18="",K18=""),"",H18*K18)</f>
        <v/>
      </c>
      <c r="N18" s="118"/>
      <c r="O18" s="174"/>
      <c r="R18" s="181"/>
      <c r="S18" s="181"/>
      <c r="V18" s="275">
        <v>2</v>
      </c>
      <c r="W18" s="207" t="e">
        <f>IF(SUM(M17:M18)&gt;=M15,M18*0.7+M17)</f>
        <v>#VALUE!</v>
      </c>
      <c r="X18" s="207" t="e">
        <f>IF(W18&lt;=M15,W18)</f>
        <v>#VALUE!</v>
      </c>
      <c r="Y18" s="207"/>
      <c r="Z18" s="21" t="e">
        <f>IF(SUM(M17:M18)&lt;=M15,M18*0.7+M17,0)</f>
        <v>#VALUE!</v>
      </c>
      <c r="AA18" s="272" t="e">
        <f>SUM(X18:Z18)</f>
        <v>#VALUE!</v>
      </c>
    </row>
    <row r="19" spans="1:34" s="21" customFormat="1" ht="12" customHeight="1">
      <c r="A19" s="139"/>
      <c r="B19" s="230"/>
      <c r="C19" s="287"/>
      <c r="D19" s="231"/>
      <c r="E19" s="77"/>
      <c r="F19" s="77"/>
      <c r="G19" s="77"/>
      <c r="H19" s="473" t="s">
        <v>81</v>
      </c>
      <c r="I19" s="474"/>
      <c r="J19" s="77"/>
      <c r="K19" s="229" t="s">
        <v>82</v>
      </c>
      <c r="L19" s="77"/>
      <c r="M19" s="231"/>
      <c r="N19" s="118"/>
      <c r="O19" s="174"/>
      <c r="R19" s="181"/>
      <c r="S19" s="181"/>
      <c r="V19" s="275">
        <v>3</v>
      </c>
      <c r="X19" s="207">
        <f>IF(SUM(M17:M18)&gt;=M15,M15)</f>
        <v>0</v>
      </c>
      <c r="Y19" s="207"/>
      <c r="Z19" s="21">
        <f>IF(SUM(M17:M18)&lt;=M15,SUM(M17:M18),0)</f>
        <v>0</v>
      </c>
      <c r="AA19" s="272">
        <f>SUM(X19:Z19)</f>
        <v>0</v>
      </c>
    </row>
    <row r="20" spans="1:34" s="21" customFormat="1" ht="15" customHeight="1">
      <c r="A20" s="139"/>
      <c r="B20" s="105" t="s">
        <v>25</v>
      </c>
      <c r="C20" s="161" t="s">
        <v>103</v>
      </c>
      <c r="D20" s="161"/>
      <c r="E20" s="161"/>
      <c r="F20" s="339" t="str">
        <f>IF(AND(R27=0,H62&lt;&gt;0),"Bitte Maßnahmen auswählen","")</f>
        <v/>
      </c>
      <c r="G20" s="269"/>
      <c r="H20" s="139"/>
      <c r="I20" s="139"/>
      <c r="J20" s="317"/>
      <c r="K20" s="318" t="str">
        <f>IF(M15="","",IF(M24&lt;M15,"Hinweis: Kostenobergrenze greift",""))</f>
        <v/>
      </c>
      <c r="L20" s="317"/>
      <c r="M20" s="317"/>
      <c r="N20" s="118"/>
      <c r="O20" s="174"/>
      <c r="R20" s="181"/>
      <c r="S20" s="181"/>
      <c r="V20" s="275">
        <v>4</v>
      </c>
      <c r="W20" s="207"/>
      <c r="X20" s="207" t="e">
        <f>IF((M18*1.5+M17)&gt;=M15,M15)</f>
        <v>#VALUE!</v>
      </c>
      <c r="Y20" s="207"/>
      <c r="Z20" s="21" t="e">
        <f>IF(M18*1.5+M17&lt;=M15,M18*1.5+M17,0)</f>
        <v>#VALUE!</v>
      </c>
      <c r="AA20" s="272" t="e">
        <f>SUM(X20:Z20)</f>
        <v>#VALUE!</v>
      </c>
    </row>
    <row r="21" spans="1:34" s="3" customFormat="1" ht="4.5" customHeight="1">
      <c r="A21" s="140"/>
      <c r="B21" s="190"/>
      <c r="C21" s="20"/>
      <c r="D21" s="20"/>
      <c r="E21" s="20"/>
      <c r="F21" s="20"/>
      <c r="G21" s="17"/>
      <c r="H21" s="20"/>
      <c r="I21" s="20"/>
      <c r="J21" s="20"/>
      <c r="K21" s="20"/>
      <c r="L21" s="70"/>
      <c r="M21" s="83"/>
      <c r="N21" s="58"/>
      <c r="O21" s="83"/>
      <c r="R21" s="141"/>
      <c r="S21" s="182"/>
      <c r="V21" s="275"/>
      <c r="W21" s="207"/>
    </row>
    <row r="22" spans="1:34" s="21" customFormat="1" ht="15" customHeight="1">
      <c r="A22" s="139"/>
      <c r="B22" s="105"/>
      <c r="C22" s="292"/>
      <c r="D22" s="269"/>
      <c r="E22" s="77"/>
      <c r="F22" s="319"/>
      <c r="G22" s="269"/>
      <c r="H22" s="77"/>
      <c r="I22" s="77"/>
      <c r="J22" s="77"/>
      <c r="K22" s="313"/>
      <c r="L22" s="77"/>
      <c r="N22" s="118"/>
      <c r="O22" s="174"/>
      <c r="R22" s="181"/>
      <c r="S22" s="181"/>
      <c r="V22" s="276">
        <v>5</v>
      </c>
      <c r="W22" s="207"/>
      <c r="X22" s="207" t="e">
        <f>IF(M18*2+M17&gt;=M15,M15)</f>
        <v>#VALUE!</v>
      </c>
      <c r="Y22" s="207"/>
      <c r="Z22" s="21" t="e">
        <f>IF(M18*2+M17&lt;=M15,M18*2+M17,0)</f>
        <v>#VALUE!</v>
      </c>
      <c r="AA22" s="272" t="e">
        <f>SUM(X22:Z22)</f>
        <v>#VALUE!</v>
      </c>
    </row>
    <row r="23" spans="1:34" s="3" customFormat="1" ht="4.5" customHeight="1">
      <c r="A23" s="140"/>
      <c r="B23" s="190"/>
      <c r="C23" s="20"/>
      <c r="D23" s="17"/>
      <c r="E23" s="20"/>
      <c r="F23" s="20"/>
      <c r="G23" s="17"/>
      <c r="H23" s="20"/>
      <c r="I23" s="20"/>
      <c r="J23" s="20"/>
      <c r="K23" s="20"/>
      <c r="L23" s="70"/>
      <c r="M23" s="83"/>
      <c r="N23" s="58"/>
      <c r="O23" s="83"/>
      <c r="R23" s="141"/>
      <c r="S23" s="182"/>
    </row>
    <row r="24" spans="1:34" s="21" customFormat="1" ht="15" customHeight="1">
      <c r="A24" s="139"/>
      <c r="B24" s="105"/>
      <c r="C24" s="292"/>
      <c r="D24" s="269"/>
      <c r="E24" s="77"/>
      <c r="F24" s="319"/>
      <c r="G24" s="269"/>
      <c r="H24" s="77"/>
      <c r="I24" s="77"/>
      <c r="J24" s="77"/>
      <c r="K24" s="313"/>
      <c r="L24" s="77"/>
      <c r="M24" s="117" t="str">
        <f>IF(R27=6,AA17,R24)</f>
        <v/>
      </c>
      <c r="N24" s="118"/>
      <c r="O24" s="174"/>
      <c r="R24" s="273" t="str">
        <f>IF(R27=0,"",VLOOKUP(R27,V17:AA22,6,1))</f>
        <v/>
      </c>
      <c r="S24" s="181">
        <v>1</v>
      </c>
      <c r="T24" s="21">
        <v>2</v>
      </c>
      <c r="U24" s="21">
        <v>3</v>
      </c>
      <c r="V24" s="21">
        <v>4</v>
      </c>
      <c r="W24" s="21">
        <v>5</v>
      </c>
    </row>
    <row r="25" spans="1:34" s="3" customFormat="1" ht="5.0999999999999996" customHeight="1">
      <c r="A25" s="140"/>
      <c r="B25" s="7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95"/>
      <c r="N25" s="73"/>
      <c r="O25" s="298"/>
      <c r="R25" s="182"/>
      <c r="S25" s="182"/>
      <c r="AC25" s="21"/>
      <c r="AD25" s="21"/>
      <c r="AE25" s="21"/>
      <c r="AF25" s="21"/>
      <c r="AG25" s="21"/>
      <c r="AH25" s="21"/>
    </row>
    <row r="26" spans="1:34" s="3" customFormat="1" ht="4.5" customHeight="1" thickBot="1">
      <c r="A26" s="140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4"/>
      <c r="O26" s="34"/>
      <c r="R26" s="182"/>
      <c r="S26" s="182"/>
      <c r="AC26" s="21"/>
      <c r="AD26" s="21"/>
      <c r="AE26" s="21"/>
      <c r="AF26" s="21"/>
      <c r="AG26" s="21"/>
      <c r="AH26" s="21"/>
    </row>
    <row r="27" spans="1:34" s="3" customFormat="1" ht="15" customHeight="1">
      <c r="A27" s="140"/>
      <c r="B27" s="200" t="s">
        <v>2</v>
      </c>
      <c r="C27" s="177" t="s">
        <v>33</v>
      </c>
      <c r="D27" s="29"/>
      <c r="E27" s="29"/>
      <c r="F27" s="29"/>
      <c r="G27" s="29"/>
      <c r="H27" s="293" t="str">
        <f>IF(R27=6,"Fehler: Bitte nur eine Baumaßnahme auswählen","")</f>
        <v/>
      </c>
      <c r="I27" s="29"/>
      <c r="J27" s="29"/>
      <c r="K27" s="29"/>
      <c r="L27" s="29"/>
      <c r="M27" s="28"/>
      <c r="N27" s="74"/>
      <c r="O27" s="291"/>
      <c r="R27" s="271">
        <f>IF(SUM(S27:W27)&gt;1,6,IF(S27=1,1,IF(T27=1,2,IF(U27=1,3,IF(V27=1,4,IF(W27=1,5,0))))))</f>
        <v>0</v>
      </c>
      <c r="S27" s="3">
        <f>IF(R40=1,1,0)</f>
        <v>0</v>
      </c>
      <c r="T27" s="182">
        <f>IF(T28=TRUE,1,0)</f>
        <v>0</v>
      </c>
      <c r="U27" s="3">
        <f>IF(U28=TRUE,1,0)</f>
        <v>0</v>
      </c>
      <c r="V27" s="3">
        <f>IF(V28=TRUE,1,0)</f>
        <v>0</v>
      </c>
      <c r="W27" s="3">
        <f>IF(W28=TRUE,1,0)</f>
        <v>0</v>
      </c>
      <c r="AC27" s="333" t="s">
        <v>156</v>
      </c>
      <c r="AD27" s="21"/>
      <c r="AE27" s="21"/>
      <c r="AF27" s="21"/>
      <c r="AG27" s="21"/>
      <c r="AH27" s="21"/>
    </row>
    <row r="28" spans="1:34" s="3" customFormat="1" ht="15" customHeight="1">
      <c r="A28" s="140"/>
      <c r="B28" s="187" t="s">
        <v>22</v>
      </c>
      <c r="C28" s="52" t="s">
        <v>127</v>
      </c>
      <c r="D28" s="20"/>
      <c r="E28" s="20"/>
      <c r="F28" s="20"/>
      <c r="G28" s="20"/>
      <c r="H28" s="20"/>
      <c r="I28" s="20"/>
      <c r="J28" s="20"/>
      <c r="K28" s="20"/>
      <c r="L28" s="20"/>
      <c r="M28" s="265" t="str">
        <f>IF(OR(M10="",R27=0),"",M10-M15+R24)</f>
        <v/>
      </c>
      <c r="N28" s="71"/>
      <c r="O28" s="298"/>
      <c r="R28" s="180"/>
      <c r="S28" s="182" t="b">
        <v>0</v>
      </c>
      <c r="T28" s="182" t="b">
        <v>0</v>
      </c>
      <c r="U28" s="182" t="b">
        <v>0</v>
      </c>
      <c r="V28" s="182" t="b">
        <v>0</v>
      </c>
      <c r="W28" s="182" t="b">
        <v>0</v>
      </c>
      <c r="Y28" s="4" t="s">
        <v>134</v>
      </c>
      <c r="AC28" s="334"/>
      <c r="AD28" s="21"/>
      <c r="AE28" s="322" t="s">
        <v>139</v>
      </c>
      <c r="AF28" s="21"/>
      <c r="AG28" s="21"/>
      <c r="AH28" s="21"/>
    </row>
    <row r="29" spans="1:34" s="3" customFormat="1" ht="3.95" customHeight="1" thickBot="1">
      <c r="A29" s="140"/>
      <c r="B29" s="190"/>
      <c r="C29" s="20"/>
      <c r="D29" s="20"/>
      <c r="E29" s="20"/>
      <c r="F29" s="20"/>
      <c r="G29" s="20"/>
      <c r="H29" s="20"/>
      <c r="I29" s="20"/>
      <c r="J29" s="20"/>
      <c r="K29" s="20"/>
      <c r="L29" s="70"/>
      <c r="M29" s="83"/>
      <c r="N29" s="58"/>
      <c r="O29" s="83"/>
      <c r="R29" s="141"/>
      <c r="S29" s="182"/>
      <c r="AC29" s="334"/>
      <c r="AD29" s="21"/>
      <c r="AE29" s="21"/>
      <c r="AF29" s="21"/>
      <c r="AG29" s="21"/>
      <c r="AH29" s="21"/>
    </row>
    <row r="30" spans="1:34" s="3" customFormat="1" ht="15" customHeight="1" thickBot="1">
      <c r="A30" s="140"/>
      <c r="B30" s="187" t="s">
        <v>23</v>
      </c>
      <c r="C30" s="20" t="s">
        <v>89</v>
      </c>
      <c r="D30" s="20"/>
      <c r="E30" s="20"/>
      <c r="F30" s="20"/>
      <c r="G30" s="20"/>
      <c r="H30" s="20"/>
      <c r="I30" s="20"/>
      <c r="J30" s="20"/>
      <c r="K30" s="20"/>
      <c r="L30" s="52"/>
      <c r="M30" s="84"/>
      <c r="N30" s="53"/>
      <c r="O30" s="84"/>
      <c r="Q30" s="307">
        <v>1</v>
      </c>
      <c r="R30" s="225" t="s">
        <v>80</v>
      </c>
      <c r="Y30" s="3" t="s">
        <v>135</v>
      </c>
      <c r="AC30" s="335">
        <v>343.69</v>
      </c>
      <c r="AD30" s="21"/>
      <c r="AE30" s="324">
        <f>IF(H7&lt;&gt; "",B1-H7,B1-B1)</f>
        <v>0</v>
      </c>
      <c r="AF30" s="21"/>
      <c r="AG30" s="21"/>
      <c r="AH30" s="21"/>
    </row>
    <row r="31" spans="1:34" s="3" customFormat="1" ht="15" customHeight="1">
      <c r="A31" s="140"/>
      <c r="B31" s="257"/>
      <c r="C31" s="50"/>
      <c r="D31" s="437" t="s">
        <v>87</v>
      </c>
      <c r="E31" s="437"/>
      <c r="F31" s="215"/>
      <c r="G31" s="437" t="s">
        <v>88</v>
      </c>
      <c r="H31" s="437"/>
      <c r="I31" s="437"/>
      <c r="J31" s="437"/>
      <c r="K31" s="437"/>
      <c r="L31" s="54"/>
      <c r="M31" s="240" t="s">
        <v>86</v>
      </c>
      <c r="N31" s="25"/>
      <c r="O31" s="20"/>
      <c r="Q31" s="308">
        <v>2</v>
      </c>
      <c r="R31" s="225" t="s">
        <v>84</v>
      </c>
      <c r="S31" s="182"/>
      <c r="Y31" s="3" t="s">
        <v>136</v>
      </c>
      <c r="AC31" s="335">
        <v>44.83</v>
      </c>
      <c r="AD31" s="21"/>
      <c r="AE31" s="21"/>
      <c r="AF31" s="21"/>
      <c r="AG31" s="21"/>
      <c r="AH31" s="21"/>
    </row>
    <row r="32" spans="1:34" s="3" customFormat="1" ht="15" customHeight="1">
      <c r="A32" s="140"/>
      <c r="B32" s="187"/>
      <c r="C32" s="260" t="s">
        <v>16</v>
      </c>
      <c r="D32" s="396"/>
      <c r="E32" s="397"/>
      <c r="F32" s="320"/>
      <c r="G32" s="379"/>
      <c r="H32" s="380"/>
      <c r="I32" s="380"/>
      <c r="J32" s="380"/>
      <c r="K32" s="381"/>
      <c r="L32" s="51" t="s">
        <v>17</v>
      </c>
      <c r="M32" s="5"/>
      <c r="N32" s="71"/>
      <c r="O32" s="298"/>
      <c r="Q32" s="308">
        <v>3</v>
      </c>
      <c r="R32" s="225" t="s">
        <v>78</v>
      </c>
      <c r="S32" s="182"/>
      <c r="AC32" s="334"/>
      <c r="AD32" s="21"/>
      <c r="AE32" s="21"/>
      <c r="AF32" s="21"/>
      <c r="AG32" s="21"/>
      <c r="AH32" s="21"/>
    </row>
    <row r="33" spans="1:35" s="3" customFormat="1" ht="15" customHeight="1">
      <c r="A33" s="140"/>
      <c r="B33" s="187"/>
      <c r="C33" s="260" t="s">
        <v>16</v>
      </c>
      <c r="D33" s="396"/>
      <c r="E33" s="397"/>
      <c r="F33" s="320"/>
      <c r="G33" s="379"/>
      <c r="H33" s="380"/>
      <c r="I33" s="380"/>
      <c r="J33" s="380"/>
      <c r="K33" s="381"/>
      <c r="L33" s="153" t="s">
        <v>17</v>
      </c>
      <c r="M33" s="6"/>
      <c r="N33" s="71"/>
      <c r="O33" s="298"/>
      <c r="Q33" s="309">
        <v>4</v>
      </c>
      <c r="R33" s="225" t="s">
        <v>126</v>
      </c>
      <c r="S33" s="182"/>
      <c r="Y33" s="4" t="s">
        <v>137</v>
      </c>
      <c r="AC33" s="334"/>
      <c r="AD33" s="21"/>
      <c r="AE33" s="21"/>
      <c r="AF33" s="21"/>
      <c r="AG33" s="21"/>
      <c r="AH33" s="21"/>
    </row>
    <row r="34" spans="1:35" s="3" customFormat="1" ht="15" customHeight="1">
      <c r="A34" s="140"/>
      <c r="B34" s="24"/>
      <c r="C34" s="260" t="s">
        <v>16</v>
      </c>
      <c r="D34" s="396"/>
      <c r="E34" s="397"/>
      <c r="F34" s="320"/>
      <c r="G34" s="379"/>
      <c r="H34" s="380"/>
      <c r="I34" s="380"/>
      <c r="J34" s="380"/>
      <c r="K34" s="381"/>
      <c r="L34" s="153" t="s">
        <v>17</v>
      </c>
      <c r="M34" s="270"/>
      <c r="N34" s="71"/>
      <c r="O34" s="298"/>
      <c r="Q34" s="310">
        <v>5</v>
      </c>
      <c r="R34" s="225" t="s">
        <v>79</v>
      </c>
      <c r="S34" s="182"/>
      <c r="Y34" s="3" t="s">
        <v>142</v>
      </c>
      <c r="AB34" s="122">
        <v>1</v>
      </c>
      <c r="AC34" s="335">
        <v>10.61</v>
      </c>
      <c r="AE34" s="122">
        <f>IF(AE30&lt;=22,1,IF(AND(AE30&gt;=22,AE30&lt;32),2,IF(AE30&gt;32,3,0)))</f>
        <v>1</v>
      </c>
    </row>
    <row r="35" spans="1:35" s="3" customFormat="1" ht="15" customHeight="1" thickBot="1">
      <c r="A35" s="140"/>
      <c r="B35" s="187" t="s">
        <v>24</v>
      </c>
      <c r="C35" s="43" t="s">
        <v>92</v>
      </c>
      <c r="D35" s="20"/>
      <c r="E35" s="20"/>
      <c r="F35" s="20"/>
      <c r="G35" s="20"/>
      <c r="H35" s="20"/>
      <c r="I35" s="20"/>
      <c r="J35" s="20"/>
      <c r="K35" s="20"/>
      <c r="L35" s="51"/>
      <c r="M35" s="35"/>
      <c r="N35" s="53"/>
      <c r="O35" s="84"/>
      <c r="R35" s="182"/>
      <c r="S35" s="182"/>
      <c r="Y35" s="3" t="s">
        <v>141</v>
      </c>
      <c r="AB35" s="122">
        <v>2</v>
      </c>
      <c r="AC35" s="335">
        <v>13.45</v>
      </c>
    </row>
    <row r="36" spans="1:35" s="3" customFormat="1" ht="15" customHeight="1" thickBot="1">
      <c r="A36" s="20"/>
      <c r="B36" s="62" t="s">
        <v>5</v>
      </c>
      <c r="C36" s="20" t="s">
        <v>91</v>
      </c>
      <c r="D36" s="20"/>
      <c r="E36" s="20"/>
      <c r="F36" s="20"/>
      <c r="G36" s="20"/>
      <c r="H36" s="20"/>
      <c r="I36" s="20"/>
      <c r="J36" s="20"/>
      <c r="K36" s="20"/>
      <c r="L36" s="51" t="s">
        <v>17</v>
      </c>
      <c r="M36" s="5"/>
      <c r="N36" s="71"/>
      <c r="O36" s="298"/>
      <c r="R36" s="182" t="s">
        <v>119</v>
      </c>
      <c r="S36" s="182"/>
      <c r="Y36" s="3" t="s">
        <v>140</v>
      </c>
      <c r="AB36" s="122">
        <v>3</v>
      </c>
      <c r="AC36" s="336">
        <v>17.18</v>
      </c>
      <c r="AE36" s="324">
        <f>IF(AE34=1,AC34,IF(AE34=2,AC35,IF(AE34=3,AC36,0)))</f>
        <v>10.61</v>
      </c>
      <c r="AF36" s="323" t="s">
        <v>143</v>
      </c>
    </row>
    <row r="37" spans="1:35" s="3" customFormat="1" ht="15" customHeight="1" thickBot="1">
      <c r="A37" s="140"/>
      <c r="B37" s="187" t="s">
        <v>25</v>
      </c>
      <c r="C37" s="20" t="s">
        <v>130</v>
      </c>
      <c r="D37" s="20"/>
      <c r="E37" s="20"/>
      <c r="F37" s="20"/>
      <c r="G37" s="20"/>
      <c r="H37" s="20"/>
      <c r="I37" s="20"/>
      <c r="J37" s="20"/>
      <c r="K37" s="20"/>
      <c r="L37" s="51" t="s">
        <v>17</v>
      </c>
      <c r="M37" s="5"/>
      <c r="N37" s="71"/>
      <c r="O37" s="298"/>
      <c r="R37" s="182" t="s">
        <v>120</v>
      </c>
      <c r="S37" s="182"/>
      <c r="Y37" s="3" t="s">
        <v>138</v>
      </c>
      <c r="AC37" s="337">
        <v>101.62</v>
      </c>
    </row>
    <row r="38" spans="1:35" s="3" customFormat="1" ht="15" customHeight="1">
      <c r="A38" s="140"/>
      <c r="B38" s="187" t="s">
        <v>26</v>
      </c>
      <c r="C38" s="43" t="s">
        <v>90</v>
      </c>
      <c r="D38" s="20"/>
      <c r="E38" s="20"/>
      <c r="F38" s="20"/>
      <c r="G38" s="20"/>
      <c r="H38" s="20"/>
      <c r="I38" s="20"/>
      <c r="J38" s="20"/>
      <c r="K38" s="20"/>
      <c r="L38" s="51" t="s">
        <v>17</v>
      </c>
      <c r="M38" s="5"/>
      <c r="N38" s="71"/>
      <c r="O38" s="298"/>
      <c r="R38" s="182"/>
      <c r="S38" s="182"/>
    </row>
    <row r="39" spans="1:35" s="3" customFormat="1" ht="3.95" customHeight="1">
      <c r="A39" s="140"/>
      <c r="B39" s="187"/>
      <c r="C39" s="4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71"/>
      <c r="O39" s="298"/>
      <c r="R39" s="182"/>
      <c r="S39" s="182"/>
    </row>
    <row r="40" spans="1:35" s="3" customFormat="1" ht="17.100000000000001" customHeight="1">
      <c r="A40" s="140"/>
      <c r="B40" s="105" t="s">
        <v>27</v>
      </c>
      <c r="C40" s="113" t="s">
        <v>46</v>
      </c>
      <c r="D40" s="94"/>
      <c r="E40" s="94"/>
      <c r="F40" s="94"/>
      <c r="G40" s="94"/>
      <c r="H40" s="94"/>
      <c r="I40" s="94"/>
      <c r="J40" s="94"/>
      <c r="K40" s="94"/>
      <c r="L40" s="112"/>
      <c r="M40" s="119" t="str">
        <f>IF(M28="","",M28-SUM(M32:M38))</f>
        <v/>
      </c>
      <c r="N40" s="71"/>
      <c r="O40" s="298"/>
      <c r="R40" s="182">
        <v>2</v>
      </c>
      <c r="S40" s="182"/>
      <c r="AI40" s="207"/>
    </row>
    <row r="41" spans="1:35" s="3" customFormat="1" ht="3.95" customHeight="1">
      <c r="A41" s="140"/>
      <c r="B41" s="190"/>
      <c r="C41" s="20"/>
      <c r="D41" s="20"/>
      <c r="E41" s="20"/>
      <c r="F41" s="20"/>
      <c r="G41" s="20"/>
      <c r="H41" s="20"/>
      <c r="I41" s="20"/>
      <c r="J41" s="20"/>
      <c r="K41" s="20"/>
      <c r="L41" s="70"/>
      <c r="M41" s="83"/>
      <c r="N41" s="58"/>
      <c r="O41" s="83"/>
      <c r="R41" s="141"/>
      <c r="S41" s="182"/>
    </row>
    <row r="42" spans="1:35" s="3" customFormat="1" ht="15" customHeight="1">
      <c r="A42" s="140"/>
      <c r="B42" s="187" t="s">
        <v>28</v>
      </c>
      <c r="C42" s="20" t="s">
        <v>118</v>
      </c>
      <c r="D42" s="20"/>
      <c r="E42" s="20"/>
      <c r="F42" s="20"/>
      <c r="G42" s="20"/>
      <c r="H42" s="20"/>
      <c r="I42" s="20"/>
      <c r="J42" s="20"/>
      <c r="K42" s="20"/>
      <c r="L42" s="20"/>
      <c r="M42" s="163" t="str">
        <f>IF(M40="","",M40-(M40/1.19))</f>
        <v/>
      </c>
      <c r="N42" s="71"/>
      <c r="O42" s="298"/>
      <c r="R42" s="141"/>
      <c r="S42" s="182"/>
    </row>
    <row r="43" spans="1:35" s="3" customFormat="1" ht="15" customHeight="1">
      <c r="A43" s="140"/>
      <c r="B43" s="187" t="s">
        <v>29</v>
      </c>
      <c r="C43" s="20" t="s">
        <v>128</v>
      </c>
      <c r="D43" s="20"/>
      <c r="E43" s="20"/>
      <c r="F43" s="20"/>
      <c r="G43" s="20"/>
      <c r="H43" s="20"/>
      <c r="J43" s="415" t="str">
        <f>IF(Z62=0,"",Z62)</f>
        <v/>
      </c>
      <c r="K43" s="415"/>
      <c r="L43" s="51" t="s">
        <v>17</v>
      </c>
      <c r="M43" s="142">
        <f>IF(OR(M64="",M42="",SUM(W53:W59)=0),0,Z62/(SUM(W53:W59))*M42)</f>
        <v>0</v>
      </c>
      <c r="N43" s="71"/>
      <c r="O43" s="298"/>
      <c r="R43" s="141" t="b">
        <v>1</v>
      </c>
      <c r="S43" s="182"/>
      <c r="Z43" s="122">
        <v>3</v>
      </c>
      <c r="AA43" s="122">
        <v>1</v>
      </c>
      <c r="AB43" s="122">
        <v>2</v>
      </c>
      <c r="AC43" s="122">
        <v>5</v>
      </c>
      <c r="AD43" s="122">
        <v>4</v>
      </c>
    </row>
    <row r="44" spans="1:35" s="3" customFormat="1" ht="4.5" customHeight="1">
      <c r="A44" s="140"/>
      <c r="B44" s="190"/>
      <c r="C44" s="20"/>
      <c r="D44" s="20"/>
      <c r="E44" s="20"/>
      <c r="F44" s="20"/>
      <c r="G44" s="20"/>
      <c r="H44" s="20"/>
      <c r="I44" s="20"/>
      <c r="J44" s="20"/>
      <c r="K44" s="20"/>
      <c r="L44" s="70"/>
      <c r="M44" s="83"/>
      <c r="N44" s="58"/>
      <c r="O44" s="83"/>
      <c r="R44" s="141"/>
      <c r="S44" s="182"/>
    </row>
    <row r="45" spans="1:35" s="3" customFormat="1" ht="15" customHeight="1">
      <c r="A45" s="140"/>
      <c r="B45" s="105" t="s">
        <v>47</v>
      </c>
      <c r="C45" s="113" t="s">
        <v>6</v>
      </c>
      <c r="D45" s="47"/>
      <c r="E45" s="47"/>
      <c r="F45" s="47"/>
      <c r="G45" s="47"/>
      <c r="H45" s="189" t="str">
        <f>IF(AND(SUM(R53:R59)&lt;&gt;0,M64=""),"Fehler: Fehlende Eingabe D3","")</f>
        <v/>
      </c>
      <c r="I45" s="189"/>
      <c r="J45" s="47"/>
      <c r="K45" s="47"/>
      <c r="L45" s="47"/>
      <c r="M45" s="188" t="str">
        <f>IF(OR(M40="",M43=""),"",M40-M43)</f>
        <v/>
      </c>
      <c r="N45" s="71"/>
      <c r="O45" s="298"/>
      <c r="R45" s="141"/>
      <c r="S45" s="182"/>
      <c r="Z45" s="122"/>
      <c r="AB45" s="517" t="s">
        <v>65</v>
      </c>
      <c r="AC45" s="517" t="s">
        <v>98</v>
      </c>
    </row>
    <row r="46" spans="1:35" s="3" customFormat="1" ht="5.0999999999999996" customHeight="1">
      <c r="A46" s="140"/>
      <c r="B46" s="75"/>
      <c r="C46" s="31"/>
      <c r="D46" s="31"/>
      <c r="E46" s="31"/>
      <c r="F46" s="31"/>
      <c r="G46" s="31"/>
      <c r="H46" s="31"/>
      <c r="I46" s="31"/>
      <c r="J46" s="31"/>
      <c r="K46" s="31"/>
      <c r="L46" s="56"/>
      <c r="M46" s="87"/>
      <c r="N46" s="73"/>
      <c r="O46" s="298"/>
      <c r="R46" s="182"/>
      <c r="S46" s="182"/>
      <c r="AA46" s="517" t="s">
        <v>64</v>
      </c>
      <c r="AB46" s="517"/>
      <c r="AC46" s="517"/>
    </row>
    <row r="47" spans="1:35" s="3" customFormat="1" ht="4.5" customHeight="1">
      <c r="A47" s="14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44"/>
      <c r="M47" s="48"/>
      <c r="N47" s="83"/>
      <c r="O47" s="83"/>
      <c r="R47" s="182"/>
      <c r="S47" s="182"/>
      <c r="AA47" s="517"/>
      <c r="AB47" s="517"/>
      <c r="AC47" s="517"/>
    </row>
    <row r="48" spans="1:35" s="21" customFormat="1" ht="15" customHeight="1">
      <c r="A48" s="139"/>
      <c r="B48" s="192" t="s">
        <v>49</v>
      </c>
      <c r="C48" s="178" t="s">
        <v>34</v>
      </c>
      <c r="D48" s="39"/>
      <c r="E48" s="39"/>
      <c r="F48" s="39"/>
      <c r="G48" s="203"/>
      <c r="H48" s="39"/>
      <c r="I48" s="39"/>
      <c r="K48" s="203" t="str">
        <f>IF(SUM(V53:V104)=0,"","Fehler: unvollständige Eingabe")</f>
        <v/>
      </c>
      <c r="L48" s="39"/>
      <c r="M48" s="39"/>
      <c r="N48" s="40"/>
      <c r="O48" s="77"/>
      <c r="R48" s="181"/>
      <c r="S48" s="181"/>
      <c r="Y48" s="508" t="s">
        <v>45</v>
      </c>
      <c r="Z48" s="21" t="s">
        <v>62</v>
      </c>
      <c r="AA48" s="517"/>
      <c r="AB48" s="517"/>
      <c r="AC48" s="517"/>
      <c r="AD48" s="21" t="s">
        <v>45</v>
      </c>
      <c r="AE48" s="21" t="s">
        <v>63</v>
      </c>
      <c r="AF48" s="21" t="s">
        <v>45</v>
      </c>
      <c r="AH48" s="21" t="s">
        <v>99</v>
      </c>
      <c r="AI48" s="21" t="s">
        <v>104</v>
      </c>
    </row>
    <row r="49" spans="1:35" s="3" customFormat="1" ht="11.25" customHeight="1">
      <c r="A49" s="140"/>
      <c r="B49" s="376" t="s">
        <v>22</v>
      </c>
      <c r="C49" s="416" t="s">
        <v>20</v>
      </c>
      <c r="D49" s="384" t="s">
        <v>19</v>
      </c>
      <c r="E49" s="385"/>
      <c r="F49" s="386"/>
      <c r="G49" s="370" t="s">
        <v>21</v>
      </c>
      <c r="H49" s="371"/>
      <c r="I49" s="509" t="s">
        <v>112</v>
      </c>
      <c r="J49" s="510"/>
      <c r="K49" s="350" t="s">
        <v>111</v>
      </c>
      <c r="L49" s="152"/>
      <c r="M49" s="157" t="s">
        <v>4</v>
      </c>
      <c r="N49" s="41"/>
      <c r="O49" s="65"/>
      <c r="R49" s="182"/>
      <c r="S49" s="182"/>
      <c r="Y49" s="508"/>
    </row>
    <row r="50" spans="1:35" s="3" customFormat="1" ht="15" customHeight="1">
      <c r="A50" s="140"/>
      <c r="B50" s="376"/>
      <c r="C50" s="417"/>
      <c r="D50" s="387"/>
      <c r="E50" s="388"/>
      <c r="F50" s="389"/>
      <c r="G50" s="372"/>
      <c r="H50" s="373"/>
      <c r="I50" s="511"/>
      <c r="J50" s="512"/>
      <c r="K50" s="351"/>
      <c r="L50" s="155"/>
      <c r="M50" s="285" t="s">
        <v>110</v>
      </c>
      <c r="N50" s="41"/>
      <c r="O50" s="65"/>
      <c r="R50" s="182">
        <f>IF(AND(I52&lt;&gt;"",K52=""),0,1)</f>
        <v>1</v>
      </c>
      <c r="S50" s="182"/>
      <c r="Y50" s="508"/>
    </row>
    <row r="51" spans="1:35" s="3" customFormat="1" ht="4.5" customHeight="1">
      <c r="A51" s="140"/>
      <c r="B51" s="187"/>
      <c r="C51" s="418"/>
      <c r="D51" s="390"/>
      <c r="E51" s="391"/>
      <c r="F51" s="392"/>
      <c r="G51" s="374"/>
      <c r="H51" s="375"/>
      <c r="I51" s="513"/>
      <c r="J51" s="514"/>
      <c r="K51" s="352"/>
      <c r="L51" s="156"/>
      <c r="M51" s="158"/>
      <c r="N51" s="41"/>
      <c r="O51" s="65"/>
      <c r="R51" s="182"/>
      <c r="S51" s="182"/>
      <c r="Y51" s="508"/>
    </row>
    <row r="52" spans="1:35" s="3" customFormat="1" ht="17.45" customHeight="1">
      <c r="A52" s="140"/>
      <c r="B52" s="187"/>
      <c r="C52" s="259">
        <v>1</v>
      </c>
      <c r="D52" s="343" t="s">
        <v>106</v>
      </c>
      <c r="E52" s="344"/>
      <c r="F52" s="345"/>
      <c r="G52" s="382" t="s">
        <v>48</v>
      </c>
      <c r="H52" s="383"/>
      <c r="I52" s="348"/>
      <c r="J52" s="349"/>
      <c r="K52" s="314"/>
      <c r="L52" s="289"/>
      <c r="M52" s="290"/>
      <c r="N52" s="41"/>
      <c r="O52" s="65"/>
      <c r="R52" s="182"/>
      <c r="S52" s="182"/>
      <c r="Y52" s="508"/>
    </row>
    <row r="53" spans="1:35" s="3" customFormat="1" ht="17.100000000000001" customHeight="1">
      <c r="A53" s="140"/>
      <c r="B53" s="204" t="s">
        <v>54</v>
      </c>
      <c r="C53" s="90"/>
      <c r="D53" s="411"/>
      <c r="E53" s="412"/>
      <c r="F53" s="243"/>
      <c r="G53" s="382" t="s">
        <v>32</v>
      </c>
      <c r="H53" s="383"/>
      <c r="I53" s="348"/>
      <c r="J53" s="349"/>
      <c r="K53" s="206"/>
      <c r="L53" s="91" t="str">
        <f>"="</f>
        <v>=</v>
      </c>
      <c r="M53" s="205" t="str">
        <f t="shared" ref="M53:M58" si="0">IF(OR(C53="",I53="",K53=""),"",C53*I53*K53*12)</f>
        <v/>
      </c>
      <c r="N53" s="68"/>
      <c r="O53" s="299"/>
      <c r="R53" s="45">
        <f t="shared" ref="R53:R58" si="1">IF(K53="",0,C53*I53)</f>
        <v>0</v>
      </c>
      <c r="S53" s="266">
        <f t="shared" ref="S53:S60" si="2">IF(C53="",0,1)</f>
        <v>0</v>
      </c>
      <c r="T53" s="267">
        <f t="shared" ref="T53:T58" si="3">IF(I53="",0,1)</f>
        <v>0</v>
      </c>
      <c r="U53" s="267">
        <f t="shared" ref="U53:U60" si="4">IF(K53="",0,1)</f>
        <v>0</v>
      </c>
      <c r="V53" s="267">
        <f t="shared" ref="V53:V58" si="5">IF(AND(SUM(S53:U53)&gt;=1,SUM(S53:U53)&lt;3),1,0)</f>
        <v>0</v>
      </c>
      <c r="W53" s="45">
        <f t="shared" ref="W53:W58" si="6">IF(K53="",0,C53*I53)</f>
        <v>0</v>
      </c>
      <c r="X53" s="182">
        <f>U85</f>
        <v>5</v>
      </c>
      <c r="Y53" s="182">
        <f t="shared" ref="Y53:Y58" si="7">IF(X53=4,C53,0)</f>
        <v>0</v>
      </c>
      <c r="Z53" s="3">
        <f t="shared" ref="Z53:Z58" si="8">IF(X53=3,W53,0)</f>
        <v>0</v>
      </c>
      <c r="AA53" s="3">
        <f t="shared" ref="AA53:AA58" si="9">IF(X53=1,W53,0)</f>
        <v>0</v>
      </c>
      <c r="AB53" s="3">
        <f t="shared" ref="AB53:AB58" si="10">IF(X53=2,W53,0)</f>
        <v>0</v>
      </c>
      <c r="AC53" s="3">
        <f t="shared" ref="AC53:AC58" si="11">IF(X53=5,W53,0)</f>
        <v>0</v>
      </c>
      <c r="AD53" s="3">
        <f t="shared" ref="AD53:AD58" si="12">IF(X53=4,W53,0)</f>
        <v>0</v>
      </c>
      <c r="AE53" s="207">
        <f t="shared" ref="AE53:AE58" si="13">(Z53*K53*12)+(AA53*K53*12)+(AB53*K53*12)</f>
        <v>0</v>
      </c>
      <c r="AF53" s="207">
        <f t="shared" ref="AF53:AF58" si="14">AD53*12*K53</f>
        <v>0</v>
      </c>
      <c r="AG53" s="3">
        <f t="shared" ref="AG53:AG58" si="15">IF(AND(I53&lt;&gt;"",K53=0),1,0)</f>
        <v>0</v>
      </c>
      <c r="AH53" s="3" t="str">
        <f t="shared" ref="AH53:AH58" si="16">IF(X53=5,M53,0)</f>
        <v/>
      </c>
    </row>
    <row r="54" spans="1:35" s="3" customFormat="1" ht="17.100000000000001" customHeight="1">
      <c r="A54" s="140"/>
      <c r="B54" s="204" t="s">
        <v>55</v>
      </c>
      <c r="C54" s="90"/>
      <c r="D54" s="411"/>
      <c r="E54" s="412"/>
      <c r="F54" s="243"/>
      <c r="G54" s="382" t="s">
        <v>2</v>
      </c>
      <c r="H54" s="383"/>
      <c r="I54" s="348"/>
      <c r="J54" s="349"/>
      <c r="K54" s="206"/>
      <c r="L54" s="91" t="str">
        <f t="shared" ref="L54:L60" si="17">"="</f>
        <v>=</v>
      </c>
      <c r="M54" s="205" t="str">
        <f>IF(OR(C54="",I54="",K54=""),"",C54*I54*K54*12)</f>
        <v/>
      </c>
      <c r="N54" s="68"/>
      <c r="O54" s="299"/>
      <c r="R54" s="45">
        <f t="shared" si="1"/>
        <v>0</v>
      </c>
      <c r="S54" s="266">
        <f t="shared" si="2"/>
        <v>0</v>
      </c>
      <c r="T54" s="267">
        <f t="shared" si="3"/>
        <v>0</v>
      </c>
      <c r="U54" s="267">
        <f t="shared" si="4"/>
        <v>0</v>
      </c>
      <c r="V54" s="267">
        <f t="shared" si="5"/>
        <v>0</v>
      </c>
      <c r="W54" s="45">
        <f t="shared" si="6"/>
        <v>0</v>
      </c>
      <c r="X54" s="182">
        <f>U86</f>
        <v>3</v>
      </c>
      <c r="Y54" s="182">
        <f t="shared" si="7"/>
        <v>0</v>
      </c>
      <c r="Z54" s="3">
        <f t="shared" si="8"/>
        <v>0</v>
      </c>
      <c r="AA54" s="3">
        <f t="shared" si="9"/>
        <v>0</v>
      </c>
      <c r="AB54" s="3">
        <f t="shared" si="10"/>
        <v>0</v>
      </c>
      <c r="AC54" s="3">
        <f t="shared" si="11"/>
        <v>0</v>
      </c>
      <c r="AD54" s="3">
        <f t="shared" si="12"/>
        <v>0</v>
      </c>
      <c r="AE54" s="207">
        <f t="shared" si="13"/>
        <v>0</v>
      </c>
      <c r="AF54" s="207">
        <f t="shared" si="14"/>
        <v>0</v>
      </c>
      <c r="AG54" s="3">
        <f t="shared" si="15"/>
        <v>0</v>
      </c>
      <c r="AH54" s="3">
        <f t="shared" si="16"/>
        <v>0</v>
      </c>
    </row>
    <row r="55" spans="1:35" s="3" customFormat="1" ht="17.100000000000001" customHeight="1">
      <c r="A55" s="140"/>
      <c r="B55" s="204" t="s">
        <v>56</v>
      </c>
      <c r="C55" s="90"/>
      <c r="D55" s="411"/>
      <c r="E55" s="412"/>
      <c r="F55" s="243"/>
      <c r="G55" s="382" t="s">
        <v>49</v>
      </c>
      <c r="H55" s="383"/>
      <c r="I55" s="348"/>
      <c r="J55" s="349"/>
      <c r="K55" s="206"/>
      <c r="L55" s="91" t="str">
        <f t="shared" si="17"/>
        <v>=</v>
      </c>
      <c r="M55" s="205" t="str">
        <f t="shared" si="0"/>
        <v/>
      </c>
      <c r="N55" s="68"/>
      <c r="O55" s="299"/>
      <c r="R55" s="45">
        <f t="shared" si="1"/>
        <v>0</v>
      </c>
      <c r="S55" s="266">
        <f t="shared" si="2"/>
        <v>0</v>
      </c>
      <c r="T55" s="267">
        <f t="shared" si="3"/>
        <v>0</v>
      </c>
      <c r="U55" s="267">
        <f t="shared" si="4"/>
        <v>0</v>
      </c>
      <c r="V55" s="267">
        <f t="shared" si="5"/>
        <v>0</v>
      </c>
      <c r="W55" s="45">
        <f t="shared" si="6"/>
        <v>0</v>
      </c>
      <c r="X55" s="182">
        <f>U87</f>
        <v>1</v>
      </c>
      <c r="Y55" s="182">
        <f t="shared" si="7"/>
        <v>0</v>
      </c>
      <c r="Z55" s="3">
        <f t="shared" si="8"/>
        <v>0</v>
      </c>
      <c r="AA55" s="3">
        <f t="shared" si="9"/>
        <v>0</v>
      </c>
      <c r="AB55" s="3">
        <f t="shared" si="10"/>
        <v>0</v>
      </c>
      <c r="AC55" s="3">
        <f t="shared" si="11"/>
        <v>0</v>
      </c>
      <c r="AD55" s="3">
        <f t="shared" si="12"/>
        <v>0</v>
      </c>
      <c r="AE55" s="207">
        <f t="shared" si="13"/>
        <v>0</v>
      </c>
      <c r="AF55" s="207">
        <f t="shared" si="14"/>
        <v>0</v>
      </c>
      <c r="AG55" s="3">
        <f t="shared" si="15"/>
        <v>0</v>
      </c>
      <c r="AH55" s="3">
        <f t="shared" si="16"/>
        <v>0</v>
      </c>
    </row>
    <row r="56" spans="1:35" s="3" customFormat="1" ht="17.100000000000001" customHeight="1">
      <c r="A56" s="140"/>
      <c r="B56" s="204" t="s">
        <v>57</v>
      </c>
      <c r="C56" s="90"/>
      <c r="D56" s="411"/>
      <c r="E56" s="412"/>
      <c r="F56" s="243"/>
      <c r="G56" s="382" t="s">
        <v>51</v>
      </c>
      <c r="H56" s="383"/>
      <c r="I56" s="348"/>
      <c r="J56" s="349"/>
      <c r="K56" s="206"/>
      <c r="L56" s="91" t="str">
        <f t="shared" si="17"/>
        <v>=</v>
      </c>
      <c r="M56" s="205" t="str">
        <f t="shared" si="0"/>
        <v/>
      </c>
      <c r="N56" s="68"/>
      <c r="O56" s="299"/>
      <c r="R56" s="45">
        <f t="shared" si="1"/>
        <v>0</v>
      </c>
      <c r="S56" s="266">
        <f t="shared" si="2"/>
        <v>0</v>
      </c>
      <c r="T56" s="267">
        <f t="shared" si="3"/>
        <v>0</v>
      </c>
      <c r="U56" s="267">
        <f t="shared" si="4"/>
        <v>0</v>
      </c>
      <c r="V56" s="267">
        <f t="shared" si="5"/>
        <v>0</v>
      </c>
      <c r="W56" s="45">
        <f t="shared" si="6"/>
        <v>0</v>
      </c>
      <c r="X56" s="182">
        <f>U88</f>
        <v>4</v>
      </c>
      <c r="Y56" s="182">
        <f t="shared" si="7"/>
        <v>0</v>
      </c>
      <c r="Z56" s="3">
        <f t="shared" si="8"/>
        <v>0</v>
      </c>
      <c r="AA56" s="3">
        <f t="shared" si="9"/>
        <v>0</v>
      </c>
      <c r="AB56" s="3">
        <f t="shared" si="10"/>
        <v>0</v>
      </c>
      <c r="AC56" s="3">
        <f t="shared" si="11"/>
        <v>0</v>
      </c>
      <c r="AD56" s="3">
        <f t="shared" si="12"/>
        <v>0</v>
      </c>
      <c r="AE56" s="207">
        <f t="shared" si="13"/>
        <v>0</v>
      </c>
      <c r="AF56" s="207">
        <f t="shared" si="14"/>
        <v>0</v>
      </c>
      <c r="AG56" s="3">
        <f t="shared" si="15"/>
        <v>0</v>
      </c>
      <c r="AH56" s="3">
        <f t="shared" si="16"/>
        <v>0</v>
      </c>
    </row>
    <row r="57" spans="1:35" s="3" customFormat="1" ht="17.100000000000001" customHeight="1">
      <c r="A57" s="140"/>
      <c r="B57" s="204" t="s">
        <v>58</v>
      </c>
      <c r="C57" s="90"/>
      <c r="D57" s="411"/>
      <c r="E57" s="412"/>
      <c r="F57" s="243"/>
      <c r="G57" s="382" t="s">
        <v>52</v>
      </c>
      <c r="H57" s="383"/>
      <c r="I57" s="348"/>
      <c r="J57" s="349"/>
      <c r="K57" s="206"/>
      <c r="L57" s="91" t="str">
        <f t="shared" si="17"/>
        <v>=</v>
      </c>
      <c r="M57" s="205" t="str">
        <f t="shared" si="0"/>
        <v/>
      </c>
      <c r="N57" s="68"/>
      <c r="O57" s="299"/>
      <c r="R57" s="45">
        <f t="shared" si="1"/>
        <v>0</v>
      </c>
      <c r="S57" s="266">
        <f t="shared" si="2"/>
        <v>0</v>
      </c>
      <c r="T57" s="267">
        <f t="shared" si="3"/>
        <v>0</v>
      </c>
      <c r="U57" s="267">
        <f t="shared" si="4"/>
        <v>0</v>
      </c>
      <c r="V57" s="267">
        <f t="shared" si="5"/>
        <v>0</v>
      </c>
      <c r="W57" s="45">
        <f t="shared" si="6"/>
        <v>0</v>
      </c>
      <c r="X57" s="182">
        <f>U89</f>
        <v>2</v>
      </c>
      <c r="Y57" s="182">
        <f t="shared" si="7"/>
        <v>0</v>
      </c>
      <c r="Z57" s="3">
        <f t="shared" si="8"/>
        <v>0</v>
      </c>
      <c r="AA57" s="3">
        <f t="shared" si="9"/>
        <v>0</v>
      </c>
      <c r="AB57" s="3">
        <f t="shared" si="10"/>
        <v>0</v>
      </c>
      <c r="AC57" s="3">
        <f t="shared" si="11"/>
        <v>0</v>
      </c>
      <c r="AD57" s="3">
        <f t="shared" si="12"/>
        <v>0</v>
      </c>
      <c r="AE57" s="207">
        <f t="shared" si="13"/>
        <v>0</v>
      </c>
      <c r="AF57" s="207">
        <f t="shared" si="14"/>
        <v>0</v>
      </c>
      <c r="AG57" s="3">
        <f t="shared" si="15"/>
        <v>0</v>
      </c>
      <c r="AH57" s="3">
        <f t="shared" si="16"/>
        <v>0</v>
      </c>
    </row>
    <row r="58" spans="1:35" s="3" customFormat="1" ht="17.100000000000001" customHeight="1">
      <c r="A58" s="140"/>
      <c r="B58" s="204" t="s">
        <v>59</v>
      </c>
      <c r="C58" s="90"/>
      <c r="D58" s="411"/>
      <c r="E58" s="412"/>
      <c r="F58" s="243"/>
      <c r="G58" s="382" t="s">
        <v>53</v>
      </c>
      <c r="H58" s="383"/>
      <c r="I58" s="348"/>
      <c r="J58" s="349"/>
      <c r="K58" s="206"/>
      <c r="L58" s="91" t="str">
        <f t="shared" si="17"/>
        <v>=</v>
      </c>
      <c r="M58" s="205" t="str">
        <f t="shared" si="0"/>
        <v/>
      </c>
      <c r="N58" s="68"/>
      <c r="O58" s="299"/>
      <c r="R58" s="45">
        <f t="shared" si="1"/>
        <v>0</v>
      </c>
      <c r="S58" s="266">
        <f t="shared" si="2"/>
        <v>0</v>
      </c>
      <c r="T58" s="267">
        <f t="shared" si="3"/>
        <v>0</v>
      </c>
      <c r="U58" s="267">
        <f t="shared" si="4"/>
        <v>0</v>
      </c>
      <c r="V58" s="267">
        <f t="shared" si="5"/>
        <v>0</v>
      </c>
      <c r="W58" s="45">
        <f t="shared" si="6"/>
        <v>0</v>
      </c>
      <c r="X58" s="182">
        <f>U94</f>
        <v>0</v>
      </c>
      <c r="Y58" s="182">
        <f t="shared" si="7"/>
        <v>0</v>
      </c>
      <c r="Z58" s="3">
        <f t="shared" si="8"/>
        <v>0</v>
      </c>
      <c r="AA58" s="3">
        <f t="shared" si="9"/>
        <v>0</v>
      </c>
      <c r="AB58" s="3">
        <f t="shared" si="10"/>
        <v>0</v>
      </c>
      <c r="AC58" s="3">
        <f t="shared" si="11"/>
        <v>0</v>
      </c>
      <c r="AD58" s="3">
        <f t="shared" si="12"/>
        <v>0</v>
      </c>
      <c r="AE58" s="207">
        <f t="shared" si="13"/>
        <v>0</v>
      </c>
      <c r="AF58" s="207">
        <f t="shared" si="14"/>
        <v>0</v>
      </c>
      <c r="AG58" s="3">
        <f t="shared" si="15"/>
        <v>0</v>
      </c>
      <c r="AH58" s="3">
        <f t="shared" si="16"/>
        <v>0</v>
      </c>
    </row>
    <row r="59" spans="1:35" s="3" customFormat="1" ht="17.100000000000001" customHeight="1">
      <c r="A59" s="140"/>
      <c r="B59" s="204" t="s">
        <v>60</v>
      </c>
      <c r="C59" s="90"/>
      <c r="D59" s="232" t="s">
        <v>124</v>
      </c>
      <c r="E59" s="235"/>
      <c r="F59" s="239"/>
      <c r="G59" s="235"/>
      <c r="H59" s="306"/>
      <c r="I59" s="406"/>
      <c r="J59" s="407"/>
      <c r="K59" s="206"/>
      <c r="L59" s="91" t="str">
        <f t="shared" si="17"/>
        <v>=</v>
      </c>
      <c r="M59" s="205" t="str">
        <f>IF(OR(C59="",K59=""),"",C59*K59*12)</f>
        <v/>
      </c>
      <c r="N59" s="68"/>
      <c r="O59" s="299"/>
      <c r="R59" s="45">
        <f>I59</f>
        <v>0</v>
      </c>
      <c r="S59" s="182">
        <f t="shared" si="2"/>
        <v>0</v>
      </c>
      <c r="T59" s="182"/>
      <c r="U59" s="182">
        <f t="shared" si="4"/>
        <v>0</v>
      </c>
      <c r="V59" s="182"/>
      <c r="W59" s="45">
        <f>I52</f>
        <v>0</v>
      </c>
      <c r="AE59" s="207"/>
    </row>
    <row r="60" spans="1:35" s="3" customFormat="1" ht="15" customHeight="1">
      <c r="A60" s="140"/>
      <c r="B60" s="204" t="s">
        <v>61</v>
      </c>
      <c r="C60" s="90"/>
      <c r="D60" s="413" t="s">
        <v>83</v>
      </c>
      <c r="E60" s="414"/>
      <c r="F60" s="239"/>
      <c r="G60" s="408"/>
      <c r="H60" s="408"/>
      <c r="I60" s="406"/>
      <c r="J60" s="407"/>
      <c r="K60" s="206"/>
      <c r="L60" s="91" t="str">
        <f t="shared" si="17"/>
        <v>=</v>
      </c>
      <c r="M60" s="205" t="str">
        <f>IF(OR(C60="",K60=""),"",C60*K60*12)</f>
        <v/>
      </c>
      <c r="N60" s="68"/>
      <c r="O60" s="299"/>
      <c r="R60" s="182"/>
      <c r="S60" s="182">
        <f t="shared" si="2"/>
        <v>0</v>
      </c>
      <c r="T60" s="182"/>
      <c r="U60" s="182">
        <f t="shared" si="4"/>
        <v>0</v>
      </c>
      <c r="V60" s="182"/>
    </row>
    <row r="61" spans="1:35" s="3" customFormat="1" ht="3.95" customHeight="1" thickBot="1">
      <c r="A61" s="140"/>
      <c r="B61" s="190"/>
      <c r="C61" s="20"/>
      <c r="D61" s="20"/>
      <c r="E61" s="20"/>
      <c r="F61" s="20"/>
      <c r="G61" s="20"/>
      <c r="H61" s="20"/>
      <c r="I61" s="20"/>
      <c r="J61" s="20"/>
      <c r="K61" s="20"/>
      <c r="L61" s="70"/>
      <c r="M61" s="83"/>
      <c r="N61" s="58"/>
      <c r="O61" s="83"/>
      <c r="R61" s="141"/>
      <c r="S61" s="182"/>
      <c r="T61" s="182"/>
      <c r="U61" s="182"/>
      <c r="V61" s="182"/>
    </row>
    <row r="62" spans="1:35" s="3" customFormat="1" ht="16.5" customHeight="1">
      <c r="A62" s="140"/>
      <c r="B62" s="191" t="s">
        <v>23</v>
      </c>
      <c r="C62" s="264" t="s">
        <v>93</v>
      </c>
      <c r="D62" s="263"/>
      <c r="E62" s="263"/>
      <c r="F62" s="263"/>
      <c r="G62" s="263"/>
      <c r="H62" s="518">
        <f>C53*I53+C54*I54+C55*I55+C56*I56+C57*I57+C58*I58+I52</f>
        <v>0</v>
      </c>
      <c r="I62" s="518"/>
      <c r="J62" s="519"/>
      <c r="K62" s="216"/>
      <c r="L62" s="42"/>
      <c r="M62" s="42"/>
      <c r="N62" s="61"/>
      <c r="O62" s="42"/>
      <c r="Y62" s="3">
        <f>SUM(Y53:Y58)</f>
        <v>0</v>
      </c>
      <c r="Z62" s="3">
        <f t="shared" ref="Z62:AF62" si="18">SUM(Z53:Z59)</f>
        <v>0</v>
      </c>
      <c r="AA62" s="3">
        <f t="shared" si="18"/>
        <v>0</v>
      </c>
      <c r="AB62" s="3">
        <f t="shared" si="18"/>
        <v>0</v>
      </c>
      <c r="AC62" s="3">
        <f t="shared" si="18"/>
        <v>0</v>
      </c>
      <c r="AD62" s="3">
        <f t="shared" si="18"/>
        <v>0</v>
      </c>
      <c r="AE62" s="246">
        <f t="shared" si="18"/>
        <v>0</v>
      </c>
      <c r="AF62" s="244">
        <f t="shared" si="18"/>
        <v>0</v>
      </c>
      <c r="AG62" s="21">
        <v>6</v>
      </c>
      <c r="AH62" s="246">
        <f>SUM(AH53:AH59)</f>
        <v>0</v>
      </c>
      <c r="AI62" s="246">
        <f>I52*K52*12</f>
        <v>0</v>
      </c>
    </row>
    <row r="63" spans="1:35" s="3" customFormat="1" ht="3.95" customHeight="1">
      <c r="A63" s="140"/>
      <c r="B63" s="187"/>
      <c r="C63" s="63"/>
      <c r="D63" s="54"/>
      <c r="E63" s="140"/>
      <c r="F63" s="140"/>
      <c r="G63" s="140"/>
      <c r="H63" s="64"/>
      <c r="I63" s="64"/>
      <c r="J63" s="145"/>
      <c r="K63" s="65"/>
      <c r="L63" s="65"/>
      <c r="M63" s="65"/>
      <c r="N63" s="41"/>
      <c r="O63" s="65"/>
      <c r="AE63" s="247"/>
      <c r="AH63" s="247"/>
      <c r="AI63" s="247"/>
    </row>
    <row r="64" spans="1:35" s="3" customFormat="1" ht="15" customHeight="1" thickBot="1">
      <c r="A64" s="140"/>
      <c r="B64" s="191" t="s">
        <v>24</v>
      </c>
      <c r="C64" s="409" t="s">
        <v>70</v>
      </c>
      <c r="D64" s="410"/>
      <c r="E64" s="410"/>
      <c r="F64" s="268"/>
      <c r="G64" s="234"/>
      <c r="H64" s="288"/>
      <c r="I64" s="288"/>
      <c r="J64" s="233"/>
      <c r="K64" s="233"/>
      <c r="L64" s="94" t="str">
        <f>"="</f>
        <v>=</v>
      </c>
      <c r="M64" s="137" t="str">
        <f>IF(SUM(M53:M60)=0,"",SUM(M53:M60))</f>
        <v/>
      </c>
      <c r="N64" s="25"/>
      <c r="O64" s="20"/>
      <c r="AA64" s="3">
        <f>SUM(AA53:AA59)</f>
        <v>0</v>
      </c>
      <c r="AB64" s="3">
        <f>SUM(AB53:AB59)</f>
        <v>0</v>
      </c>
      <c r="AE64" s="248" t="s">
        <v>85</v>
      </c>
      <c r="AF64" s="245" t="s">
        <v>45</v>
      </c>
      <c r="AH64" s="248" t="s">
        <v>100</v>
      </c>
      <c r="AI64" s="248" t="s">
        <v>107</v>
      </c>
    </row>
    <row r="65" spans="1:42" s="3" customFormat="1" ht="5.25" customHeight="1">
      <c r="A65" s="140"/>
      <c r="B65" s="193"/>
      <c r="C65" s="31"/>
      <c r="D65" s="31"/>
      <c r="E65" s="31"/>
      <c r="F65" s="31"/>
      <c r="G65" s="31"/>
      <c r="H65" s="31"/>
      <c r="I65" s="31"/>
      <c r="J65" s="56"/>
      <c r="K65" s="72"/>
      <c r="L65" s="72"/>
      <c r="M65" s="31"/>
      <c r="N65" s="67"/>
      <c r="O65" s="20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</row>
    <row r="66" spans="1:42" s="3" customFormat="1" ht="5.0999999999999996" customHeight="1">
      <c r="A66" s="140"/>
      <c r="B66" s="20"/>
      <c r="C66" s="20"/>
      <c r="D66" s="20"/>
      <c r="E66" s="20"/>
      <c r="F66" s="20"/>
      <c r="G66" s="20"/>
      <c r="H66" s="20"/>
      <c r="I66" s="20"/>
      <c r="J66" s="51"/>
      <c r="K66" s="82"/>
      <c r="L66" s="82"/>
      <c r="M66" s="20"/>
      <c r="N66" s="20"/>
      <c r="O66" s="20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</row>
    <row r="67" spans="1:42" s="3" customFormat="1" ht="7.9" customHeight="1">
      <c r="A67" s="140"/>
      <c r="B67" s="31"/>
      <c r="C67" s="31"/>
      <c r="D67" s="31"/>
      <c r="E67" s="31"/>
      <c r="F67" s="31"/>
      <c r="G67" s="31"/>
      <c r="H67" s="31"/>
      <c r="I67" s="31"/>
      <c r="J67" s="44"/>
      <c r="K67" s="48"/>
      <c r="L67" s="31"/>
      <c r="M67" s="31"/>
      <c r="N67" s="31"/>
      <c r="O67" s="20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</row>
    <row r="68" spans="1:42" s="21" customFormat="1" ht="8.25" customHeight="1">
      <c r="A68" s="139"/>
      <c r="B68" s="368" t="s">
        <v>51</v>
      </c>
      <c r="C68" s="515" t="s">
        <v>50</v>
      </c>
      <c r="D68" s="515"/>
      <c r="E68" s="515"/>
      <c r="F68" s="515"/>
      <c r="G68" s="515"/>
      <c r="H68" s="515"/>
      <c r="I68" s="515"/>
      <c r="J68" s="515"/>
      <c r="K68" s="515"/>
      <c r="L68" s="515"/>
      <c r="M68" s="39"/>
      <c r="N68" s="40"/>
      <c r="O68" s="77"/>
      <c r="R68" s="182"/>
      <c r="S68" s="182"/>
      <c r="T68" s="181"/>
      <c r="U68" s="181"/>
      <c r="V68" s="181"/>
      <c r="W68" s="181"/>
      <c r="X68" s="181"/>
      <c r="Y68" s="181"/>
      <c r="Z68" s="181"/>
      <c r="AA68" s="181"/>
      <c r="AB68" s="181"/>
      <c r="AC68" s="3"/>
      <c r="AD68" s="181"/>
      <c r="AM68" s="3"/>
      <c r="AN68" s="3"/>
      <c r="AO68" s="3"/>
      <c r="AP68" s="3"/>
    </row>
    <row r="69" spans="1:42" s="3" customFormat="1" ht="12" customHeight="1">
      <c r="A69" s="140"/>
      <c r="B69" s="369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69" t="s">
        <v>7</v>
      </c>
      <c r="N69" s="81"/>
      <c r="O69" s="291"/>
      <c r="R69" s="182"/>
      <c r="S69" s="182"/>
      <c r="T69" s="182"/>
      <c r="U69" s="182"/>
      <c r="V69" s="182"/>
      <c r="W69" s="182" t="s">
        <v>75</v>
      </c>
      <c r="X69" s="182"/>
      <c r="Y69" s="182"/>
      <c r="Z69" s="182"/>
      <c r="AA69" s="223">
        <f>SUM(W53:W59)</f>
        <v>0</v>
      </c>
      <c r="AB69" s="182"/>
    </row>
    <row r="70" spans="1:42" s="3" customFormat="1" ht="15.95" customHeight="1">
      <c r="A70" s="140"/>
      <c r="B70" s="194" t="s">
        <v>22</v>
      </c>
      <c r="C70" s="332" t="s">
        <v>151</v>
      </c>
      <c r="D70" s="150"/>
      <c r="E70" s="150"/>
      <c r="F70" s="150"/>
      <c r="G70" s="150"/>
      <c r="H70" s="151"/>
      <c r="I70" s="151"/>
      <c r="J70" s="151"/>
      <c r="K70" s="27"/>
      <c r="L70" s="76"/>
      <c r="M70" s="143"/>
      <c r="N70" s="97"/>
      <c r="O70" s="50"/>
      <c r="R70" s="182"/>
      <c r="S70" s="182"/>
      <c r="T70" s="182"/>
      <c r="U70" s="182"/>
      <c r="V70" s="182"/>
      <c r="W70" s="182" t="s">
        <v>76</v>
      </c>
      <c r="X70" s="182"/>
      <c r="Y70" s="182"/>
      <c r="AA70" s="108">
        <f>IF(OR(W59=0,AA69=""),0,W59/AA69*100)</f>
        <v>0</v>
      </c>
    </row>
    <row r="71" spans="1:42" s="3" customFormat="1" ht="15.95" customHeight="1">
      <c r="A71" s="140"/>
      <c r="B71" s="195"/>
      <c r="C71" s="365">
        <f>AC30</f>
        <v>343.69</v>
      </c>
      <c r="D71" s="366"/>
      <c r="E71" s="366"/>
      <c r="F71" s="367"/>
      <c r="G71" s="377"/>
      <c r="H71" s="378"/>
      <c r="I71" s="426" t="s">
        <v>18</v>
      </c>
      <c r="J71" s="427"/>
      <c r="K71" s="166" t="str">
        <f>IF(SUM(Y53:Y58)=0,"",SUM(Y53:Y58))</f>
        <v/>
      </c>
      <c r="L71" s="91" t="str">
        <f>"="</f>
        <v>=</v>
      </c>
      <c r="M71" s="163" t="str">
        <f>IF(OR(G71="",K71=""),"",K71*G71)</f>
        <v/>
      </c>
      <c r="N71" s="97"/>
      <c r="O71" s="50"/>
      <c r="Q71" s="3">
        <f>IF(AND(K71&lt;&gt;"",G71=""),1,0)</f>
        <v>0</v>
      </c>
      <c r="R71" s="182"/>
      <c r="S71" s="182"/>
      <c r="T71" s="182"/>
      <c r="U71" s="182"/>
      <c r="V71" s="182"/>
      <c r="W71" s="182" t="s">
        <v>77</v>
      </c>
      <c r="X71" s="182"/>
      <c r="Y71" s="182"/>
      <c r="Z71" s="182"/>
      <c r="AA71" s="108">
        <f>IF(SUM(I53:J58)=0,0,SUM(Z62:AD62)/AA69*100)</f>
        <v>0</v>
      </c>
    </row>
    <row r="72" spans="1:42" s="3" customFormat="1" ht="15.95" customHeight="1">
      <c r="A72" s="140"/>
      <c r="B72" s="238"/>
      <c r="C72" s="445" t="s">
        <v>157</v>
      </c>
      <c r="D72" s="446"/>
      <c r="E72" s="446"/>
      <c r="F72" s="447"/>
      <c r="G72" s="448"/>
      <c r="H72" s="449"/>
      <c r="I72" s="500" t="s">
        <v>18</v>
      </c>
      <c r="J72" s="501"/>
      <c r="K72" s="315" t="str">
        <f>IF(SUM(AE62,AH62)=0,"",SUM(AE62,AH62))</f>
        <v/>
      </c>
      <c r="L72" s="91" t="str">
        <f>"="</f>
        <v>=</v>
      </c>
      <c r="M72" s="163" t="str">
        <f>IF(OR(G72="",K72=""),"",K72*G72/100)</f>
        <v/>
      </c>
      <c r="N72" s="97"/>
      <c r="O72" s="50"/>
      <c r="Q72" s="3">
        <f>IF(AND(K72&lt;&gt;"",G72=""),1,0)</f>
        <v>0</v>
      </c>
      <c r="R72" s="182"/>
      <c r="S72" s="182"/>
      <c r="T72" s="182"/>
      <c r="U72" s="182"/>
      <c r="V72" s="182"/>
      <c r="W72" s="182"/>
      <c r="X72" s="182"/>
      <c r="Y72" s="182"/>
    </row>
    <row r="73" spans="1:42" s="3" customFormat="1" ht="15.95" customHeight="1">
      <c r="A73" s="140"/>
      <c r="B73" s="219"/>
      <c r="C73" s="401" t="s">
        <v>131</v>
      </c>
      <c r="D73" s="402"/>
      <c r="E73" s="402"/>
      <c r="F73" s="402"/>
      <c r="G73" s="467"/>
      <c r="H73" s="468"/>
      <c r="I73" s="468"/>
      <c r="J73" s="468"/>
      <c r="K73" s="469"/>
      <c r="L73" s="312" t="str">
        <f>"="</f>
        <v>=</v>
      </c>
      <c r="M73" s="163" t="str">
        <f>IF(I52="","",(I52/100)*(100*AC73*4/100*12))</f>
        <v/>
      </c>
      <c r="N73" s="97"/>
      <c r="O73" s="50"/>
      <c r="Q73" s="3">
        <f>IF(AND(K73&lt;&gt;"",G73=""),1,0)</f>
        <v>0</v>
      </c>
      <c r="R73" s="182"/>
      <c r="S73" s="182"/>
      <c r="T73" s="182"/>
      <c r="U73" s="182"/>
      <c r="V73" s="182"/>
      <c r="X73" s="207"/>
      <c r="AB73" s="182"/>
      <c r="AC73" s="182">
        <f>IF(AE73=1,3,IF(AE73=2,4,IF(AE73=3,5)))</f>
        <v>4</v>
      </c>
      <c r="AD73" s="182"/>
      <c r="AE73" s="182">
        <v>2</v>
      </c>
      <c r="AF73" s="182"/>
      <c r="AG73" s="182"/>
      <c r="AH73" s="182"/>
      <c r="AI73" s="182"/>
      <c r="AJ73" s="207"/>
    </row>
    <row r="74" spans="1:42" s="3" customFormat="1" ht="15.95" customHeight="1">
      <c r="A74" s="140"/>
      <c r="B74" s="196"/>
      <c r="C74" s="403">
        <f>AC31</f>
        <v>44.83</v>
      </c>
      <c r="D74" s="404"/>
      <c r="E74" s="404"/>
      <c r="F74" s="405"/>
      <c r="G74" s="520"/>
      <c r="H74" s="521"/>
      <c r="I74" s="433" t="s">
        <v>18</v>
      </c>
      <c r="J74" s="434"/>
      <c r="K74" s="316" t="str">
        <f>IF(SUM(C59:C60)=0,"",SUM(C59:C60))</f>
        <v/>
      </c>
      <c r="L74" s="91" t="str">
        <f>"="</f>
        <v>=</v>
      </c>
      <c r="M74" s="163" t="str">
        <f>IF(OR(G74="",K74=""),"",K74*G74)</f>
        <v/>
      </c>
      <c r="N74" s="97"/>
      <c r="O74" s="50"/>
      <c r="Q74" s="3">
        <f>IF(AND(K74&lt;&gt;"",G74=""),1,0)</f>
        <v>0</v>
      </c>
      <c r="R74" s="182"/>
      <c r="S74" s="182"/>
      <c r="T74" s="182"/>
      <c r="U74" s="182"/>
      <c r="V74" s="182"/>
      <c r="W74" s="183"/>
      <c r="X74" s="311"/>
      <c r="Y74" s="183"/>
      <c r="Z74" s="122"/>
      <c r="AA74" s="122"/>
      <c r="AB74" s="122"/>
      <c r="AD74" s="122"/>
      <c r="AE74" s="122"/>
      <c r="AF74" s="122"/>
      <c r="AG74" s="122"/>
      <c r="AH74" s="122"/>
      <c r="AI74" s="122"/>
      <c r="AJ74" s="122"/>
    </row>
    <row r="75" spans="1:42" s="3" customFormat="1" ht="5.0999999999999996" customHeight="1" thickBot="1">
      <c r="A75" s="140"/>
      <c r="B75" s="197"/>
      <c r="C75" s="76"/>
      <c r="D75" s="76"/>
      <c r="E75" s="76"/>
      <c r="F75" s="28"/>
      <c r="G75" s="28"/>
      <c r="H75" s="162"/>
      <c r="I75" s="162"/>
      <c r="J75" s="162"/>
      <c r="K75" s="162"/>
      <c r="L75" s="162"/>
      <c r="M75" s="162"/>
      <c r="N75" s="97"/>
      <c r="O75" s="50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2"/>
      <c r="AD75" s="2"/>
      <c r="AE75" s="2"/>
      <c r="AF75" s="2"/>
    </row>
    <row r="76" spans="1:42" s="3" customFormat="1" ht="15" customHeight="1" thickBot="1">
      <c r="A76" s="140"/>
      <c r="B76" s="194" t="s">
        <v>23</v>
      </c>
      <c r="C76" s="331" t="s">
        <v>153</v>
      </c>
      <c r="D76" s="148"/>
      <c r="E76" s="148"/>
      <c r="F76" s="148"/>
      <c r="G76" s="148"/>
      <c r="H76" s="164"/>
      <c r="I76" s="164"/>
      <c r="J76" s="94"/>
      <c r="K76" s="167"/>
      <c r="L76" s="94"/>
      <c r="M76" s="168"/>
      <c r="N76" s="71"/>
      <c r="O76" s="298"/>
      <c r="R76" s="182"/>
      <c r="S76" s="182"/>
      <c r="T76" s="182"/>
      <c r="U76" s="182"/>
      <c r="V76" s="182"/>
      <c r="W76" s="182"/>
      <c r="X76" s="311"/>
      <c r="Y76" s="311"/>
      <c r="Z76" s="311"/>
      <c r="AA76" s="326" t="s">
        <v>155</v>
      </c>
      <c r="AB76" s="182"/>
      <c r="AD76" s="505" t="s">
        <v>149</v>
      </c>
      <c r="AE76" s="506"/>
      <c r="AF76" s="507"/>
      <c r="AG76" s="182"/>
      <c r="AH76" s="182"/>
      <c r="AI76" s="182"/>
    </row>
    <row r="77" spans="1:42" s="3" customFormat="1" ht="17.100000000000001" customHeight="1">
      <c r="A77" s="140"/>
      <c r="B77" s="195"/>
      <c r="C77" s="470">
        <f>IF(R27=5,AF82,IF(R27=4,AE82,AD82))</f>
        <v>10.61</v>
      </c>
      <c r="D77" s="471"/>
      <c r="E77" s="471"/>
      <c r="F77" s="472"/>
      <c r="G77" s="431"/>
      <c r="H77" s="432"/>
      <c r="I77" s="426" t="str">
        <f>IF(G77&gt;C77,"Fehler","x")</f>
        <v>x</v>
      </c>
      <c r="J77" s="427"/>
      <c r="K77" s="169" t="str">
        <f>IF(AD62=0,"",AD62)</f>
        <v/>
      </c>
      <c r="L77" s="91" t="str">
        <f t="shared" ref="L77:L83" si="19">"="</f>
        <v>=</v>
      </c>
      <c r="M77" s="163" t="str">
        <f t="shared" ref="M77" si="20">IF(OR(G77="",K77=""),"",K77*G77)</f>
        <v/>
      </c>
      <c r="N77" s="71"/>
      <c r="O77" s="298"/>
      <c r="Q77" s="3">
        <f>IF(AND(K77&lt;&gt;"",G77=""),1,0)</f>
        <v>0</v>
      </c>
      <c r="R77" s="182"/>
      <c r="S77" s="182"/>
      <c r="T77" s="182">
        <f>IF(G77&gt;C77,1,0)</f>
        <v>0</v>
      </c>
      <c r="U77" s="182"/>
      <c r="V77" s="182"/>
      <c r="W77" s="182"/>
      <c r="X77" s="182"/>
      <c r="Y77" s="182"/>
      <c r="Z77" s="182"/>
      <c r="AA77" s="328" t="s">
        <v>150</v>
      </c>
      <c r="AB77" s="328"/>
      <c r="AC77" s="328">
        <f>AE36</f>
        <v>10.61</v>
      </c>
      <c r="AD77" s="329">
        <v>1</v>
      </c>
      <c r="AE77" s="330">
        <v>1.5</v>
      </c>
      <c r="AF77" s="330">
        <v>2</v>
      </c>
      <c r="AG77" s="182"/>
      <c r="AH77" s="182"/>
      <c r="AI77" s="182"/>
    </row>
    <row r="78" spans="1:42" s="3" customFormat="1" ht="15" customHeight="1">
      <c r="A78" s="140"/>
      <c r="B78" s="195"/>
      <c r="C78" s="490">
        <f>IF(R27=5,AF79,IF(R27=4,AE79,AD79))</f>
        <v>10.61</v>
      </c>
      <c r="D78" s="491"/>
      <c r="E78" s="491"/>
      <c r="F78" s="492"/>
      <c r="G78" s="431"/>
      <c r="H78" s="432"/>
      <c r="I78" s="426" t="str">
        <f t="shared" ref="I78:I81" si="21">IF(G78&gt;C78,"Fehler","x")</f>
        <v>x</v>
      </c>
      <c r="J78" s="427"/>
      <c r="K78" s="169" t="str">
        <f>IF(SUM(Z62,AB62)=0,"",SUM(Z62,AB62))</f>
        <v/>
      </c>
      <c r="L78" s="91" t="str">
        <f t="shared" si="19"/>
        <v>=</v>
      </c>
      <c r="M78" s="163" t="str">
        <f>IF(G78&gt;C78,"Fehler",IF(OR(G78="",K78=""),"",K78*G78))</f>
        <v/>
      </c>
      <c r="N78" s="71"/>
      <c r="O78" s="298"/>
      <c r="Q78" s="3">
        <f t="shared" ref="Q78:Q83" si="22">IF(AND(K78&lt;&gt;"",G78=""),1,0)</f>
        <v>0</v>
      </c>
      <c r="R78" s="182"/>
      <c r="S78" s="182"/>
      <c r="T78" s="182"/>
      <c r="U78" s="182"/>
      <c r="V78" s="182"/>
      <c r="W78" s="182"/>
      <c r="X78" s="182"/>
      <c r="Y78" s="182"/>
      <c r="Z78" s="182"/>
      <c r="AA78" s="327" t="s">
        <v>145</v>
      </c>
      <c r="AB78" s="182"/>
      <c r="AC78" s="338">
        <v>30</v>
      </c>
      <c r="AD78" s="325">
        <f>ROUND(AC$77*AC78/100,2)</f>
        <v>3.18</v>
      </c>
      <c r="AE78" s="325">
        <f>ROUND(AD78*AE$77,2)</f>
        <v>4.7699999999999996</v>
      </c>
      <c r="AF78" s="325">
        <f>ROUND(AD78*AF$77,2)</f>
        <v>6.36</v>
      </c>
      <c r="AG78" s="182"/>
      <c r="AH78" s="182"/>
      <c r="AI78" s="182"/>
    </row>
    <row r="79" spans="1:42" s="3" customFormat="1" ht="15" customHeight="1">
      <c r="A79" s="140"/>
      <c r="B79" s="208"/>
      <c r="C79" s="493">
        <f>IF(R27=5,AF78,IF(R27=4,AE78,AD78))</f>
        <v>3.18</v>
      </c>
      <c r="D79" s="494"/>
      <c r="E79" s="494"/>
      <c r="F79" s="495"/>
      <c r="G79" s="431"/>
      <c r="H79" s="432"/>
      <c r="I79" s="426" t="str">
        <f t="shared" si="21"/>
        <v>x</v>
      </c>
      <c r="J79" s="427"/>
      <c r="K79" s="169" t="str">
        <f>IF(AA62=0,"",AA62)</f>
        <v/>
      </c>
      <c r="L79" s="91" t="str">
        <f t="shared" si="19"/>
        <v>=</v>
      </c>
      <c r="M79" s="163" t="str">
        <f t="shared" ref="M79:M83" si="23">IF(G79&gt;C79,"Fehler",IF(OR(G79="",K79=""),"",K79*G79))</f>
        <v/>
      </c>
      <c r="N79" s="71"/>
      <c r="O79" s="298"/>
      <c r="Q79" s="3">
        <f t="shared" si="22"/>
        <v>0</v>
      </c>
      <c r="R79" s="182" t="s">
        <v>66</v>
      </c>
      <c r="S79" s="182"/>
      <c r="T79" s="182"/>
      <c r="U79" s="182"/>
      <c r="V79" s="182"/>
      <c r="W79" s="182"/>
      <c r="X79" s="182"/>
      <c r="Y79" s="182"/>
      <c r="Z79" s="182"/>
      <c r="AA79" s="327" t="s">
        <v>146</v>
      </c>
      <c r="AB79" s="249"/>
      <c r="AC79" s="338">
        <v>100</v>
      </c>
      <c r="AD79" s="325">
        <f>ROUND(AC$77*AC79/100,2)</f>
        <v>10.61</v>
      </c>
      <c r="AE79" s="325">
        <f t="shared" ref="AE79:AE82" si="24">ROUND(AD79*AE$77,2)</f>
        <v>15.92</v>
      </c>
      <c r="AF79" s="325">
        <f t="shared" ref="AF79:AF82" si="25">ROUND(AD79*AF$77,2)</f>
        <v>21.22</v>
      </c>
      <c r="AG79" s="182"/>
      <c r="AH79" s="182"/>
      <c r="AI79" s="182"/>
    </row>
    <row r="80" spans="1:42" s="3" customFormat="1" ht="15" customHeight="1">
      <c r="A80" s="140"/>
      <c r="B80" s="219"/>
      <c r="C80" s="398">
        <f>IF(R27=5,AF80,IF(R27=4,AE80,AD80))</f>
        <v>5.31</v>
      </c>
      <c r="D80" s="399"/>
      <c r="E80" s="399"/>
      <c r="F80" s="400"/>
      <c r="G80" s="431"/>
      <c r="H80" s="432"/>
      <c r="I80" s="426" t="str">
        <f t="shared" si="21"/>
        <v>x</v>
      </c>
      <c r="J80" s="427"/>
      <c r="K80" s="169" t="str">
        <f>IF(AC62=0,"",AC62)</f>
        <v/>
      </c>
      <c r="L80" s="91" t="str">
        <f t="shared" si="19"/>
        <v>=</v>
      </c>
      <c r="M80" s="163" t="str">
        <f>IF(G80&gt;C80,"Fehler",IF(OR(G80="",K80=""),"",K80*G80))</f>
        <v/>
      </c>
      <c r="N80" s="71"/>
      <c r="O80" s="298"/>
      <c r="Q80" s="3">
        <f>IF(AND(K80&lt;&gt;"",G80=""),1,0)</f>
        <v>0</v>
      </c>
      <c r="R80" s="182" t="s">
        <v>67</v>
      </c>
      <c r="S80" s="182"/>
      <c r="T80" s="182"/>
      <c r="U80" s="182"/>
      <c r="V80" s="182"/>
      <c r="W80" s="182"/>
      <c r="X80" s="182"/>
      <c r="Y80" s="182"/>
      <c r="Z80" s="182"/>
      <c r="AA80" s="327" t="s">
        <v>147</v>
      </c>
      <c r="AB80" s="249"/>
      <c r="AC80" s="338">
        <v>50</v>
      </c>
      <c r="AD80" s="325">
        <f>ROUND(AC$77*AC80/100,2)</f>
        <v>5.31</v>
      </c>
      <c r="AE80" s="325">
        <f t="shared" si="24"/>
        <v>7.97</v>
      </c>
      <c r="AF80" s="325">
        <f t="shared" si="25"/>
        <v>10.62</v>
      </c>
      <c r="AG80" s="182"/>
      <c r="AH80" s="182"/>
      <c r="AI80" s="182"/>
    </row>
    <row r="81" spans="1:36" s="3" customFormat="1" ht="15" customHeight="1">
      <c r="A81" s="140"/>
      <c r="B81" s="261"/>
      <c r="C81" s="428">
        <f>IF(R27=5,AF81,IF(R27=4,AE81,AD81))</f>
        <v>5.31</v>
      </c>
      <c r="D81" s="429"/>
      <c r="E81" s="429"/>
      <c r="F81" s="430"/>
      <c r="G81" s="431"/>
      <c r="H81" s="432"/>
      <c r="I81" s="426" t="str">
        <f t="shared" si="21"/>
        <v>x</v>
      </c>
      <c r="J81" s="427"/>
      <c r="K81" s="169" t="str">
        <f>IF(W59=0,"",W59)</f>
        <v/>
      </c>
      <c r="L81" s="91" t="str">
        <f t="shared" si="19"/>
        <v>=</v>
      </c>
      <c r="M81" s="163" t="str">
        <f t="shared" si="23"/>
        <v/>
      </c>
      <c r="N81" s="71"/>
      <c r="O81" s="298"/>
      <c r="Q81" s="3">
        <f t="shared" si="22"/>
        <v>0</v>
      </c>
      <c r="R81" s="182"/>
      <c r="S81" s="182"/>
      <c r="T81" s="182"/>
      <c r="U81" s="182"/>
      <c r="V81" s="182"/>
      <c r="W81" s="182"/>
      <c r="X81" s="182"/>
      <c r="Y81" s="182"/>
      <c r="Z81" s="182"/>
      <c r="AA81" s="327" t="s">
        <v>148</v>
      </c>
      <c r="AB81" s="277"/>
      <c r="AC81" s="338">
        <v>50</v>
      </c>
      <c r="AD81" s="325">
        <f>ROUND(AC$77*AC81/100,2)</f>
        <v>5.31</v>
      </c>
      <c r="AE81" s="325">
        <f t="shared" si="24"/>
        <v>7.97</v>
      </c>
      <c r="AF81" s="325">
        <f t="shared" si="25"/>
        <v>10.62</v>
      </c>
      <c r="AG81" s="182"/>
      <c r="AH81" s="182"/>
      <c r="AI81" s="182"/>
    </row>
    <row r="82" spans="1:36" s="3" customFormat="1" ht="15" customHeight="1">
      <c r="A82" s="140"/>
      <c r="B82" s="195"/>
      <c r="C82" s="487">
        <f>AC37</f>
        <v>101.62</v>
      </c>
      <c r="D82" s="488"/>
      <c r="E82" s="488"/>
      <c r="F82" s="489"/>
      <c r="G82" s="431"/>
      <c r="H82" s="432"/>
      <c r="I82" s="426" t="s">
        <v>18</v>
      </c>
      <c r="J82" s="427"/>
      <c r="K82" s="170" t="str">
        <f>IF(C59=0,"",C59)</f>
        <v/>
      </c>
      <c r="L82" s="91" t="str">
        <f t="shared" si="19"/>
        <v>=</v>
      </c>
      <c r="M82" s="163" t="str">
        <f t="shared" si="23"/>
        <v/>
      </c>
      <c r="N82" s="71"/>
      <c r="O82" s="298"/>
      <c r="Q82" s="3">
        <f>IF(AND(K82&lt;&gt;"",G82=""),1,0)</f>
        <v>0</v>
      </c>
      <c r="T82" s="182"/>
      <c r="U82" s="182"/>
      <c r="V82" s="182"/>
      <c r="W82" s="182"/>
      <c r="X82" s="182"/>
      <c r="Y82" s="182"/>
      <c r="Z82" s="182"/>
      <c r="AA82" s="182" t="s">
        <v>45</v>
      </c>
      <c r="AB82" s="249"/>
      <c r="AC82" s="338">
        <v>100</v>
      </c>
      <c r="AD82" s="325">
        <f t="shared" ref="AD82" si="26">AC$77*AC82/100</f>
        <v>10.61</v>
      </c>
      <c r="AE82" s="325">
        <f t="shared" si="24"/>
        <v>15.92</v>
      </c>
      <c r="AF82" s="325">
        <f t="shared" si="25"/>
        <v>21.22</v>
      </c>
      <c r="AG82" s="182"/>
      <c r="AH82" s="182"/>
      <c r="AI82" s="182"/>
    </row>
    <row r="83" spans="1:36" s="3" customFormat="1" ht="15" customHeight="1">
      <c r="A83" s="140"/>
      <c r="B83" s="195"/>
      <c r="C83" s="502">
        <f>AC31</f>
        <v>44.83</v>
      </c>
      <c r="D83" s="503"/>
      <c r="E83" s="503"/>
      <c r="F83" s="504"/>
      <c r="G83" s="419"/>
      <c r="H83" s="420"/>
      <c r="I83" s="426" t="s">
        <v>18</v>
      </c>
      <c r="J83" s="427"/>
      <c r="K83" s="170" t="str">
        <f>IF(C60=0,"",C60)</f>
        <v/>
      </c>
      <c r="L83" s="91" t="str">
        <f t="shared" si="19"/>
        <v>=</v>
      </c>
      <c r="M83" s="163" t="str">
        <f t="shared" si="23"/>
        <v/>
      </c>
      <c r="N83" s="71"/>
      <c r="O83" s="298"/>
      <c r="Q83" s="3">
        <f t="shared" si="22"/>
        <v>0</v>
      </c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249"/>
      <c r="AC83" s="242"/>
      <c r="AD83" s="2"/>
      <c r="AE83" s="182"/>
      <c r="AF83" s="182"/>
      <c r="AG83" s="182"/>
      <c r="AH83" s="182"/>
      <c r="AI83" s="182"/>
      <c r="AJ83" s="395"/>
    </row>
    <row r="84" spans="1:36" s="3" customFormat="1" ht="5.0999999999999996" customHeight="1">
      <c r="A84" s="140"/>
      <c r="B84" s="198"/>
      <c r="C84" s="93"/>
      <c r="D84" s="93"/>
      <c r="E84" s="93"/>
      <c r="F84" s="146"/>
      <c r="G84" s="146"/>
      <c r="H84" s="146"/>
      <c r="I84" s="146"/>
      <c r="J84" s="146"/>
      <c r="K84" s="146"/>
      <c r="L84" s="146"/>
      <c r="M84" s="146"/>
      <c r="N84" s="71"/>
      <c r="O84" s="298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249"/>
      <c r="AC84" s="242"/>
      <c r="AD84" s="2"/>
      <c r="AE84" s="182"/>
      <c r="AF84" s="182"/>
      <c r="AG84" s="182"/>
      <c r="AH84" s="182"/>
      <c r="AI84" s="182"/>
      <c r="AJ84" s="395"/>
    </row>
    <row r="85" spans="1:36" s="3" customFormat="1" ht="15" customHeight="1">
      <c r="A85" s="140"/>
      <c r="B85" s="194" t="s">
        <v>24</v>
      </c>
      <c r="C85" s="331" t="s">
        <v>152</v>
      </c>
      <c r="D85" s="148"/>
      <c r="E85" s="148"/>
      <c r="F85" s="148"/>
      <c r="G85" s="148"/>
      <c r="H85" s="165"/>
      <c r="I85" s="165"/>
      <c r="J85" s="94"/>
      <c r="K85" s="171"/>
      <c r="L85" s="94"/>
      <c r="M85" s="168"/>
      <c r="N85" s="71"/>
      <c r="O85" s="298"/>
      <c r="R85" s="182" t="s">
        <v>67</v>
      </c>
      <c r="S85" s="182"/>
      <c r="T85" s="182"/>
      <c r="U85" s="182">
        <v>5</v>
      </c>
      <c r="V85" s="182"/>
      <c r="W85" s="182"/>
      <c r="X85" s="182"/>
      <c r="Y85" s="182"/>
      <c r="Z85" s="182"/>
      <c r="AA85" s="182"/>
      <c r="AB85" s="249"/>
      <c r="AC85" s="242"/>
      <c r="AD85" s="2"/>
      <c r="AE85" s="182"/>
      <c r="AF85" s="182"/>
      <c r="AG85" s="182"/>
      <c r="AH85" s="182"/>
      <c r="AI85" s="182"/>
      <c r="AJ85" s="395"/>
    </row>
    <row r="86" spans="1:36" s="3" customFormat="1" ht="15" customHeight="1">
      <c r="A86" s="140"/>
      <c r="B86" s="195"/>
      <c r="C86" s="280" t="s">
        <v>154</v>
      </c>
      <c r="D86" s="281"/>
      <c r="E86" s="209"/>
      <c r="F86" s="209"/>
      <c r="G86" s="439"/>
      <c r="H86" s="440"/>
      <c r="I86" s="426" t="s">
        <v>18</v>
      </c>
      <c r="J86" s="427"/>
      <c r="K86" s="117" t="str">
        <f>IF(AE62=0,"",AE62)</f>
        <v/>
      </c>
      <c r="L86" s="91" t="str">
        <f>"="</f>
        <v>=</v>
      </c>
      <c r="M86" s="163" t="str">
        <f>IF(OR(G86="",K86=""),"",K86*G86/100)</f>
        <v/>
      </c>
      <c r="N86" s="71"/>
      <c r="O86" s="298"/>
      <c r="Q86" s="3">
        <f>IF(AND(K86&lt;&gt;"",G86=""),1,0)</f>
        <v>0</v>
      </c>
      <c r="R86" s="182" t="s">
        <v>66</v>
      </c>
      <c r="S86" s="182"/>
      <c r="T86" s="182"/>
      <c r="U86" s="182">
        <v>3</v>
      </c>
      <c r="V86" s="182"/>
      <c r="W86" s="182">
        <v>1</v>
      </c>
      <c r="X86" s="182"/>
      <c r="Y86" s="182"/>
      <c r="Z86" s="182"/>
      <c r="AA86" s="182"/>
      <c r="AB86" s="249"/>
      <c r="AC86" s="242"/>
      <c r="AD86" s="2"/>
      <c r="AE86" s="182"/>
      <c r="AF86" s="182"/>
      <c r="AG86" s="182"/>
      <c r="AH86" s="182"/>
      <c r="AI86" s="182"/>
    </row>
    <row r="87" spans="1:36" s="3" customFormat="1" ht="15" customHeight="1">
      <c r="A87" s="140"/>
      <c r="B87" s="258"/>
      <c r="C87" s="280" t="s">
        <v>144</v>
      </c>
      <c r="D87" s="281"/>
      <c r="E87" s="209"/>
      <c r="F87" s="209"/>
      <c r="G87" s="439"/>
      <c r="H87" s="440"/>
      <c r="I87" s="426" t="s">
        <v>18</v>
      </c>
      <c r="J87" s="427"/>
      <c r="K87" s="117" t="str">
        <f>IF(AH62=0,"",AH62)</f>
        <v/>
      </c>
      <c r="L87" s="91" t="str">
        <f>"="</f>
        <v>=</v>
      </c>
      <c r="M87" s="163" t="str">
        <f>IF(OR(G87="",K87=""),"",K87*G87/100)</f>
        <v/>
      </c>
      <c r="N87" s="71"/>
      <c r="O87" s="298"/>
      <c r="Q87" s="3">
        <f>IF(AND(K87&lt;&gt;"",G87=""),1,0)</f>
        <v>0</v>
      </c>
      <c r="R87" s="182" t="s">
        <v>69</v>
      </c>
      <c r="S87" s="182"/>
      <c r="T87" s="182"/>
      <c r="U87" s="182">
        <v>1</v>
      </c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1:36" s="3" customFormat="1" ht="15" customHeight="1">
      <c r="A88" s="140"/>
      <c r="B88" s="195"/>
      <c r="C88" s="282" t="s">
        <v>108</v>
      </c>
      <c r="D88" s="283"/>
      <c r="E88" s="149"/>
      <c r="F88" s="149"/>
      <c r="G88" s="439"/>
      <c r="H88" s="440"/>
      <c r="I88" s="426" t="s">
        <v>18</v>
      </c>
      <c r="J88" s="427"/>
      <c r="K88" s="117" t="str">
        <f>IF(AF62=0,"",AF62)</f>
        <v/>
      </c>
      <c r="L88" s="91" t="str">
        <f>"="</f>
        <v>=</v>
      </c>
      <c r="M88" s="163" t="str">
        <f>IF(OR(G88="",K88=""),"",K88*G88/100)</f>
        <v/>
      </c>
      <c r="N88" s="71"/>
      <c r="O88" s="298"/>
      <c r="Q88" s="3">
        <f>IF(AND(K88&lt;&gt;"",G88=""),1,0)</f>
        <v>0</v>
      </c>
      <c r="R88" s="182" t="s">
        <v>45</v>
      </c>
      <c r="S88" s="182"/>
      <c r="T88" s="182"/>
      <c r="U88" s="182">
        <v>4</v>
      </c>
      <c r="V88" s="182"/>
      <c r="W88" s="182">
        <v>2</v>
      </c>
      <c r="X88" s="182"/>
      <c r="Y88" s="182"/>
      <c r="Z88" s="182"/>
      <c r="AA88" s="182"/>
      <c r="AB88" s="249"/>
      <c r="AC88" s="242"/>
      <c r="AD88" s="2"/>
      <c r="AE88" s="182"/>
      <c r="AF88" s="182"/>
      <c r="AG88" s="182"/>
      <c r="AH88" s="182"/>
      <c r="AI88" s="182"/>
    </row>
    <row r="89" spans="1:36" s="3" customFormat="1" ht="15" customHeight="1">
      <c r="A89" s="140"/>
      <c r="B89" s="196"/>
      <c r="C89" s="278" t="s">
        <v>109</v>
      </c>
      <c r="D89" s="279"/>
      <c r="E89" s="146"/>
      <c r="F89" s="146"/>
      <c r="G89" s="439"/>
      <c r="H89" s="440"/>
      <c r="I89" s="426" t="s">
        <v>18</v>
      </c>
      <c r="J89" s="427"/>
      <c r="K89" s="117" t="str">
        <f>IF(SUM(M59:M60)=0,"",SUM(M59:M60))</f>
        <v/>
      </c>
      <c r="L89" s="91" t="str">
        <f>"="</f>
        <v>=</v>
      </c>
      <c r="M89" s="163" t="str">
        <f>IF(OR(G89="",K89=""),"",K89*G89/100)</f>
        <v/>
      </c>
      <c r="N89" s="71"/>
      <c r="O89" s="298"/>
      <c r="Q89" s="3">
        <f>IF(AND(K89&lt;&gt;"",G89=""),1,0)</f>
        <v>0</v>
      </c>
      <c r="R89" s="182" t="s">
        <v>94</v>
      </c>
      <c r="S89" s="182"/>
      <c r="T89" s="182"/>
      <c r="U89" s="182">
        <v>2</v>
      </c>
      <c r="V89" s="182"/>
      <c r="W89" s="182">
        <v>3</v>
      </c>
      <c r="X89" s="182"/>
      <c r="Y89" s="182"/>
      <c r="Z89" s="182"/>
      <c r="AA89" s="182"/>
      <c r="AB89" s="249"/>
      <c r="AC89" s="242"/>
      <c r="AD89" s="2"/>
      <c r="AE89" s="182"/>
      <c r="AF89" s="182"/>
      <c r="AG89" s="182"/>
      <c r="AH89" s="182"/>
      <c r="AI89" s="182"/>
    </row>
    <row r="90" spans="1:36" s="3" customFormat="1" ht="5.0999999999999996" customHeight="1">
      <c r="A90" s="140"/>
      <c r="B90" s="187"/>
      <c r="C90" s="93"/>
      <c r="D90" s="93"/>
      <c r="E90" s="93"/>
      <c r="F90" s="146"/>
      <c r="G90" s="146"/>
      <c r="H90" s="146"/>
      <c r="I90" s="146"/>
      <c r="J90" s="146"/>
      <c r="K90" s="146"/>
      <c r="L90" s="146"/>
      <c r="M90" s="146"/>
      <c r="N90" s="71"/>
      <c r="O90" s="298"/>
      <c r="V90" s="182"/>
      <c r="W90" s="182">
        <v>4</v>
      </c>
      <c r="X90" s="182"/>
      <c r="Y90" s="182"/>
      <c r="Z90" s="182"/>
      <c r="AA90" s="182"/>
      <c r="AB90" s="249"/>
      <c r="AC90" s="242"/>
      <c r="AD90" s="2"/>
      <c r="AE90" s="182"/>
      <c r="AF90" s="182"/>
      <c r="AG90" s="182"/>
      <c r="AH90" s="182"/>
      <c r="AI90" s="182"/>
    </row>
    <row r="91" spans="1:36" s="3" customFormat="1" ht="15.95" customHeight="1">
      <c r="A91" s="140"/>
      <c r="B91" s="199" t="s">
        <v>25</v>
      </c>
      <c r="C91" s="92" t="s">
        <v>8</v>
      </c>
      <c r="D91" s="47"/>
      <c r="E91" s="47"/>
      <c r="F91" s="47"/>
      <c r="G91" s="443"/>
      <c r="H91" s="444"/>
      <c r="I91" s="498"/>
      <c r="J91" s="499"/>
      <c r="K91" s="171"/>
      <c r="L91" s="94" t="str">
        <f>"="</f>
        <v>=</v>
      </c>
      <c r="M91" s="168">
        <f>G91</f>
        <v>0</v>
      </c>
      <c r="N91" s="71"/>
      <c r="O91" s="298"/>
      <c r="S91" s="182"/>
      <c r="T91" s="182"/>
      <c r="V91" s="182"/>
      <c r="W91" s="182"/>
      <c r="X91" s="182"/>
      <c r="Y91" s="182"/>
      <c r="Z91" s="182"/>
      <c r="AA91" s="182"/>
      <c r="AB91" s="180"/>
      <c r="AC91" s="182"/>
      <c r="AD91" s="182"/>
    </row>
    <row r="92" spans="1:36" s="3" customFormat="1" ht="5.0999999999999996" customHeight="1">
      <c r="A92" s="140"/>
      <c r="B92" s="187"/>
      <c r="C92" s="20"/>
      <c r="D92" s="20"/>
      <c r="E92" s="20"/>
      <c r="F92" s="20"/>
      <c r="G92" s="20"/>
      <c r="H92" s="172"/>
      <c r="I92" s="172"/>
      <c r="J92" s="173"/>
      <c r="K92" s="174"/>
      <c r="L92" s="77"/>
      <c r="M92" s="174"/>
      <c r="N92" s="71"/>
      <c r="O92" s="298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</row>
    <row r="93" spans="1:36" s="3" customFormat="1" ht="5.0999999999999996" customHeight="1">
      <c r="A93" s="140"/>
      <c r="B93" s="200"/>
      <c r="C93" s="29"/>
      <c r="D93" s="29"/>
      <c r="E93" s="29"/>
      <c r="F93" s="29"/>
      <c r="G93" s="29"/>
      <c r="H93" s="39"/>
      <c r="I93" s="39"/>
      <c r="J93" s="175"/>
      <c r="K93" s="176"/>
      <c r="L93" s="39"/>
      <c r="M93" s="176"/>
      <c r="N93" s="71"/>
      <c r="O93" s="298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</row>
    <row r="94" spans="1:36" s="21" customFormat="1" ht="15" customHeight="1">
      <c r="A94" s="139"/>
      <c r="B94" s="105" t="s">
        <v>26</v>
      </c>
      <c r="C94" s="114" t="s">
        <v>74</v>
      </c>
      <c r="D94" s="115"/>
      <c r="E94" s="115"/>
      <c r="F94" s="115"/>
      <c r="G94" s="115"/>
      <c r="H94" s="479" t="str">
        <f>IF(M94&gt;=M64,"",IF(M64="","",M94/M64*100))</f>
        <v/>
      </c>
      <c r="I94" s="479"/>
      <c r="J94" s="479"/>
      <c r="K94" s="479"/>
      <c r="L94" s="115"/>
      <c r="M94" s="137">
        <f>SUM(M71:M92)</f>
        <v>0</v>
      </c>
      <c r="N94" s="118"/>
      <c r="O94" s="174"/>
      <c r="R94" s="181"/>
      <c r="S94" s="181"/>
      <c r="T94" s="181"/>
      <c r="U94" s="182"/>
      <c r="V94" s="181"/>
      <c r="W94" s="181"/>
      <c r="X94" s="181"/>
      <c r="Y94" s="181"/>
      <c r="Z94" s="181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s="3" customFormat="1" ht="5.0999999999999996" customHeight="1">
      <c r="A95" s="140"/>
      <c r="B95" s="66"/>
      <c r="C95" s="31"/>
      <c r="D95" s="31"/>
      <c r="E95" s="31"/>
      <c r="F95" s="31"/>
      <c r="G95" s="31"/>
      <c r="H95" s="100"/>
      <c r="I95" s="100"/>
      <c r="J95" s="101"/>
      <c r="K95" s="101"/>
      <c r="L95" s="31"/>
      <c r="M95" s="95"/>
      <c r="N95" s="86"/>
      <c r="O95" s="12"/>
      <c r="R95" s="182"/>
      <c r="S95" s="182"/>
      <c r="T95" s="182"/>
      <c r="U95" s="182"/>
      <c r="V95" s="182"/>
      <c r="W95" s="182"/>
      <c r="X95" s="182"/>
      <c r="Y95" s="182"/>
      <c r="Z95" s="182"/>
    </row>
    <row r="96" spans="1:36" s="3" customFormat="1" ht="5.0999999999999996" customHeight="1">
      <c r="A96" s="14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44"/>
      <c r="M96" s="102"/>
      <c r="N96" s="35"/>
      <c r="O96" s="35"/>
      <c r="R96" s="182"/>
      <c r="S96" s="182"/>
      <c r="T96" s="182"/>
      <c r="U96" s="182"/>
      <c r="V96" s="182"/>
      <c r="W96" s="182"/>
    </row>
    <row r="97" spans="1:36" s="21" customFormat="1" ht="15" customHeight="1">
      <c r="A97" s="139"/>
      <c r="B97" s="192" t="s">
        <v>52</v>
      </c>
      <c r="C97" s="178" t="s">
        <v>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/>
      <c r="O97" s="77"/>
      <c r="R97" s="181"/>
      <c r="S97" s="181"/>
      <c r="T97" s="181"/>
      <c r="U97" s="182"/>
      <c r="V97" s="181"/>
      <c r="W97" s="181"/>
      <c r="AA97" s="3"/>
      <c r="AB97" s="250"/>
      <c r="AC97" s="250"/>
      <c r="AD97" s="250"/>
      <c r="AE97" s="3"/>
      <c r="AF97" s="250"/>
      <c r="AG97" s="250"/>
      <c r="AH97" s="250"/>
      <c r="AI97" s="3"/>
      <c r="AJ97" s="3"/>
    </row>
    <row r="98" spans="1:36" s="3" customFormat="1" ht="15" customHeight="1">
      <c r="A98" s="140"/>
      <c r="B98" s="187" t="s">
        <v>22</v>
      </c>
      <c r="C98" s="20" t="s">
        <v>44</v>
      </c>
      <c r="D98" s="20"/>
      <c r="E98" s="20"/>
      <c r="F98" s="20"/>
      <c r="G98" s="485" t="str">
        <f>IF(SUM(AA70:AA71)=0,"",IF(AA70=100,0,IF(AA71&gt;0,AA71/100*15)))</f>
        <v/>
      </c>
      <c r="H98" s="486"/>
      <c r="I98" s="480" t="s">
        <v>116</v>
      </c>
      <c r="J98" s="481"/>
      <c r="K98" s="477" t="str">
        <f>IF(OR(M45="",G98=""),"",M45*G98/100)</f>
        <v/>
      </c>
      <c r="L98" s="478"/>
      <c r="M98" s="20"/>
      <c r="N98" s="11"/>
      <c r="O98" s="8"/>
      <c r="R98" s="182"/>
      <c r="S98" s="182"/>
      <c r="T98" s="182"/>
      <c r="U98" s="182">
        <v>1</v>
      </c>
      <c r="V98" s="182"/>
      <c r="W98" s="182"/>
      <c r="AB98" s="250"/>
      <c r="AC98" s="250"/>
      <c r="AD98" s="250"/>
      <c r="AF98" s="250"/>
      <c r="AG98" s="250"/>
      <c r="AH98" s="250"/>
    </row>
    <row r="99" spans="1:36" s="3" customFormat="1" ht="12" customHeight="1">
      <c r="A99" s="140"/>
      <c r="B99" s="187"/>
      <c r="C99" s="17" t="s">
        <v>121</v>
      </c>
      <c r="D99" s="20"/>
      <c r="E99" s="20"/>
      <c r="F99" s="20"/>
      <c r="G99" s="20"/>
      <c r="H99" s="20"/>
      <c r="I99" s="20"/>
      <c r="J99" s="224"/>
      <c r="K99" s="215"/>
      <c r="L99" s="215"/>
      <c r="M99" s="215"/>
      <c r="N99" s="11"/>
      <c r="O99" s="8"/>
      <c r="R99" s="182"/>
      <c r="S99" s="182"/>
      <c r="T99" s="182"/>
      <c r="U99" s="182"/>
      <c r="V99" s="182"/>
      <c r="W99" s="182"/>
      <c r="AB99" s="251"/>
      <c r="AC99" s="250"/>
      <c r="AD99" s="250"/>
      <c r="AF99" s="251"/>
      <c r="AG99" s="250"/>
      <c r="AH99" s="250"/>
    </row>
    <row r="100" spans="1:36" s="3" customFormat="1" ht="13.5" customHeight="1">
      <c r="A100" s="140"/>
      <c r="B100" s="187" t="s">
        <v>23</v>
      </c>
      <c r="C100" s="20" t="s">
        <v>9</v>
      </c>
      <c r="D100" s="20"/>
      <c r="E100" s="20"/>
      <c r="F100" s="20"/>
      <c r="G100" s="20"/>
      <c r="H100" s="20"/>
      <c r="I100" s="20"/>
      <c r="J100" s="20"/>
      <c r="K100" s="215"/>
      <c r="L100" s="215"/>
      <c r="M100" s="215"/>
      <c r="N100" s="11"/>
      <c r="O100" s="8"/>
      <c r="R100" s="182"/>
      <c r="S100" s="182"/>
      <c r="AB100" s="251"/>
      <c r="AC100"/>
      <c r="AD100"/>
      <c r="AF100" s="251"/>
      <c r="AG100"/>
      <c r="AH100"/>
    </row>
    <row r="101" spans="1:36" s="3" customFormat="1" ht="13.5" customHeight="1" thickBot="1">
      <c r="A101" s="140"/>
      <c r="B101" s="187"/>
      <c r="C101" s="55" t="s">
        <v>16</v>
      </c>
      <c r="D101" s="20" t="s">
        <v>31</v>
      </c>
      <c r="E101" s="20"/>
      <c r="F101" s="20"/>
      <c r="G101" s="441"/>
      <c r="H101" s="442"/>
      <c r="I101" s="480" t="s">
        <v>97</v>
      </c>
      <c r="J101" s="481"/>
      <c r="K101" s="154">
        <f>IF(G101="",0,G101*15)</f>
        <v>0</v>
      </c>
      <c r="L101" s="20"/>
      <c r="M101" s="20"/>
      <c r="N101" s="11"/>
      <c r="O101" s="8"/>
      <c r="R101" s="182"/>
      <c r="S101" s="182"/>
      <c r="AF101"/>
      <c r="AG101"/>
      <c r="AH101"/>
    </row>
    <row r="102" spans="1:36" s="3" customFormat="1" ht="14.25" customHeight="1" thickBot="1">
      <c r="A102" s="140"/>
      <c r="B102" s="187"/>
      <c r="C102" s="55" t="s">
        <v>16</v>
      </c>
      <c r="D102" s="482" t="s">
        <v>123</v>
      </c>
      <c r="E102" s="483"/>
      <c r="F102" s="483"/>
      <c r="G102" s="483"/>
      <c r="H102" s="484"/>
      <c r="I102" s="475" t="str">
        <f>"="</f>
        <v>=</v>
      </c>
      <c r="J102" s="476"/>
      <c r="K102" s="46"/>
      <c r="L102" s="20"/>
      <c r="M102" s="20"/>
      <c r="N102" s="11"/>
      <c r="O102" s="8"/>
      <c r="R102" s="182"/>
      <c r="S102" s="182"/>
      <c r="AF102" s="256"/>
      <c r="AG102" s="255"/>
      <c r="AH102"/>
    </row>
    <row r="103" spans="1:36" s="3" customFormat="1" ht="5.0999999999999996" customHeight="1">
      <c r="A103" s="140"/>
      <c r="B103" s="187"/>
      <c r="C103" s="20"/>
      <c r="D103" s="20"/>
      <c r="E103" s="20"/>
      <c r="F103" s="20"/>
      <c r="G103" s="20"/>
      <c r="H103" s="20"/>
      <c r="I103" s="20"/>
      <c r="J103" s="20"/>
      <c r="K103" s="8"/>
      <c r="L103" s="20"/>
      <c r="M103" s="20"/>
      <c r="N103" s="11"/>
      <c r="O103" s="8"/>
      <c r="R103" s="182"/>
      <c r="S103" s="182"/>
    </row>
    <row r="104" spans="1:36" s="3" customFormat="1" ht="15.95" customHeight="1">
      <c r="A104" s="140"/>
      <c r="B104" s="187" t="s">
        <v>24</v>
      </c>
      <c r="C104" s="147" t="s">
        <v>10</v>
      </c>
      <c r="D104" s="124"/>
      <c r="E104" s="124"/>
      <c r="F104" s="124"/>
      <c r="G104" s="124"/>
      <c r="H104" s="124"/>
      <c r="I104" s="124"/>
      <c r="J104" s="496">
        <f>SUM(K98:K102)</f>
        <v>0</v>
      </c>
      <c r="K104" s="497"/>
      <c r="L104" s="20"/>
      <c r="M104" s="20"/>
      <c r="N104" s="11"/>
      <c r="O104" s="8"/>
    </row>
    <row r="105" spans="1:36" s="3" customFormat="1" ht="5.0999999999999996" customHeight="1">
      <c r="A105" s="140"/>
      <c r="B105" s="187"/>
      <c r="C105" s="20"/>
      <c r="D105" s="20"/>
      <c r="E105" s="20"/>
      <c r="F105" s="20"/>
      <c r="G105" s="20"/>
      <c r="H105" s="20"/>
      <c r="I105" s="20"/>
      <c r="J105" s="70"/>
      <c r="K105" s="12"/>
      <c r="L105" s="20"/>
      <c r="M105" s="20"/>
      <c r="N105" s="11"/>
      <c r="O105" s="8"/>
    </row>
    <row r="106" spans="1:36" s="3" customFormat="1" ht="15" customHeight="1">
      <c r="A106" s="140"/>
      <c r="B106" s="187" t="s">
        <v>25</v>
      </c>
      <c r="C106" s="20" t="s">
        <v>158</v>
      </c>
      <c r="D106" s="20"/>
      <c r="E106" s="20"/>
      <c r="F106" s="20"/>
      <c r="G106" s="20"/>
      <c r="H106" s="20"/>
      <c r="I106" s="355" t="s">
        <v>113</v>
      </c>
      <c r="J106" s="356"/>
      <c r="K106" s="14">
        <v>2</v>
      </c>
      <c r="L106" s="20"/>
      <c r="M106" s="96" t="str">
        <f>IF(OR(K98="",K106=""),"",K98*K106/100)</f>
        <v/>
      </c>
      <c r="N106" s="13"/>
      <c r="O106" s="12"/>
      <c r="AI106"/>
    </row>
    <row r="107" spans="1:36" s="3" customFormat="1" ht="15" customHeight="1">
      <c r="A107" s="140"/>
      <c r="B107" s="187" t="s">
        <v>26</v>
      </c>
      <c r="C107" s="20" t="s">
        <v>95</v>
      </c>
      <c r="D107" s="20"/>
      <c r="E107" s="20"/>
      <c r="F107" s="20"/>
      <c r="G107" s="20"/>
      <c r="H107" s="20"/>
      <c r="I107" s="346" t="s">
        <v>113</v>
      </c>
      <c r="J107" s="347"/>
      <c r="K107" s="14"/>
      <c r="L107" s="20"/>
      <c r="M107" s="96">
        <f>J104*K107/100</f>
        <v>0</v>
      </c>
      <c r="N107" s="13"/>
      <c r="O107" s="12"/>
      <c r="AI107"/>
    </row>
    <row r="108" spans="1:36" s="3" customFormat="1" ht="5.0999999999999996" customHeight="1">
      <c r="A108" s="140"/>
      <c r="B108" s="187"/>
      <c r="C108" s="20"/>
      <c r="D108" s="20"/>
      <c r="E108" s="20"/>
      <c r="F108" s="20"/>
      <c r="G108" s="20"/>
      <c r="H108" s="20"/>
      <c r="I108" s="20"/>
      <c r="J108" s="99"/>
      <c r="K108" s="8"/>
      <c r="L108" s="20"/>
      <c r="M108" s="98"/>
      <c r="N108" s="13"/>
      <c r="O108" s="12"/>
      <c r="AI108"/>
    </row>
    <row r="109" spans="1:36" s="122" customFormat="1" ht="15.95" customHeight="1">
      <c r="A109" s="144"/>
      <c r="B109" s="105" t="s">
        <v>27</v>
      </c>
      <c r="C109" s="113" t="s">
        <v>11</v>
      </c>
      <c r="D109" s="94"/>
      <c r="E109" s="94"/>
      <c r="F109" s="94"/>
      <c r="G109" s="94"/>
      <c r="H109" s="94"/>
      <c r="I109" s="94"/>
      <c r="J109" s="94"/>
      <c r="K109" s="120"/>
      <c r="L109" s="94"/>
      <c r="M109" s="123">
        <f>SUM(M106:M107)</f>
        <v>0</v>
      </c>
      <c r="N109" s="121"/>
      <c r="O109" s="300"/>
      <c r="AI109"/>
      <c r="AJ109" s="3"/>
    </row>
    <row r="110" spans="1:36" s="3" customFormat="1" ht="5.0999999999999996" customHeight="1">
      <c r="A110" s="140"/>
      <c r="B110" s="75"/>
      <c r="C110" s="31"/>
      <c r="D110" s="31"/>
      <c r="E110" s="31"/>
      <c r="F110" s="31"/>
      <c r="G110" s="31"/>
      <c r="H110" s="31"/>
      <c r="I110" s="31"/>
      <c r="J110" s="31"/>
      <c r="K110" s="10"/>
      <c r="L110" s="125"/>
      <c r="M110" s="87"/>
      <c r="N110" s="86"/>
      <c r="O110" s="12"/>
      <c r="R110" s="182"/>
      <c r="S110" s="182"/>
      <c r="AF110"/>
      <c r="AG110"/>
      <c r="AH110" s="254"/>
      <c r="AI110"/>
    </row>
    <row r="111" spans="1:36" s="3" customFormat="1" ht="5.0999999999999996" customHeight="1">
      <c r="A111" s="140"/>
      <c r="B111" s="31"/>
      <c r="C111" s="31"/>
      <c r="D111" s="31"/>
      <c r="E111" s="31"/>
      <c r="F111" s="31"/>
      <c r="G111" s="31"/>
      <c r="H111" s="31"/>
      <c r="I111" s="31"/>
      <c r="J111" s="31"/>
      <c r="K111" s="10"/>
      <c r="L111" s="44"/>
      <c r="M111" s="37"/>
      <c r="N111" s="26"/>
      <c r="O111" s="26"/>
      <c r="R111" s="182"/>
      <c r="S111" s="182"/>
      <c r="AF111" s="253"/>
      <c r="AG111"/>
      <c r="AH111"/>
      <c r="AI111"/>
      <c r="AJ111" s="108"/>
    </row>
    <row r="112" spans="1:36" s="21" customFormat="1" ht="5.0999999999999996" customHeight="1">
      <c r="A112" s="139"/>
      <c r="B112" s="88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77"/>
      <c r="R112" s="181"/>
      <c r="S112" s="181"/>
      <c r="AF112"/>
      <c r="AG112"/>
      <c r="AH112"/>
      <c r="AI112"/>
      <c r="AJ112" s="217"/>
    </row>
    <row r="113" spans="1:36" s="3" customFormat="1" ht="14.25" customHeight="1">
      <c r="A113" s="140"/>
      <c r="B113" s="105" t="s">
        <v>53</v>
      </c>
      <c r="C113" s="161" t="s">
        <v>40</v>
      </c>
      <c r="D113" s="20"/>
      <c r="E113" s="20"/>
      <c r="F113" s="20"/>
      <c r="G113" s="20"/>
      <c r="H113" s="20"/>
      <c r="I113" s="20"/>
      <c r="J113" s="20"/>
      <c r="K113" s="464" t="s">
        <v>72</v>
      </c>
      <c r="L113" s="465"/>
      <c r="M113" s="466"/>
      <c r="N113" s="81"/>
      <c r="O113" s="291"/>
      <c r="R113" s="182"/>
      <c r="S113" s="182"/>
      <c r="AF113" s="252"/>
      <c r="AJ113" s="108"/>
    </row>
    <row r="114" spans="1:36" s="3" customFormat="1" ht="5.0999999999999996" customHeight="1">
      <c r="A114" s="140"/>
      <c r="B114" s="7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5"/>
      <c r="O114" s="20"/>
      <c r="R114" s="182"/>
      <c r="S114" s="182"/>
      <c r="AF114"/>
      <c r="AJ114" s="108"/>
    </row>
    <row r="115" spans="1:36" s="3" customFormat="1" ht="14.1" customHeight="1">
      <c r="A115" s="140"/>
      <c r="B115" s="105" t="s">
        <v>22</v>
      </c>
      <c r="C115" s="20" t="s">
        <v>12</v>
      </c>
      <c r="D115" s="20"/>
      <c r="E115" s="20"/>
      <c r="F115" s="20"/>
      <c r="G115" s="20"/>
      <c r="H115" s="20"/>
      <c r="I115" s="215"/>
      <c r="J115" s="215"/>
      <c r="K115" s="458" t="s">
        <v>49</v>
      </c>
      <c r="L115" s="459"/>
      <c r="M115" s="286" t="str">
        <f>M64</f>
        <v/>
      </c>
      <c r="N115" s="71"/>
      <c r="O115" s="298"/>
      <c r="R115" s="182"/>
      <c r="S115" s="182"/>
      <c r="AF115"/>
      <c r="AJ115" s="108"/>
    </row>
    <row r="116" spans="1:36" s="3" customFormat="1" ht="14.1" customHeight="1">
      <c r="A116" s="140"/>
      <c r="B116" s="105" t="s">
        <v>23</v>
      </c>
      <c r="C116" s="20" t="s">
        <v>13</v>
      </c>
      <c r="D116" s="20"/>
      <c r="E116" s="20"/>
      <c r="F116" s="20"/>
      <c r="G116" s="20"/>
      <c r="H116" s="20"/>
      <c r="I116" s="215"/>
      <c r="J116" s="215"/>
      <c r="K116" s="458" t="s">
        <v>35</v>
      </c>
      <c r="L116" s="459"/>
      <c r="M116" s="286">
        <f>M94</f>
        <v>0</v>
      </c>
      <c r="N116" s="71"/>
      <c r="O116" s="298"/>
      <c r="R116" s="182"/>
      <c r="S116" s="182"/>
      <c r="AC116" s="108"/>
      <c r="AD116" s="108"/>
      <c r="AE116" s="108"/>
      <c r="AF116"/>
      <c r="AJ116" s="108"/>
    </row>
    <row r="117" spans="1:36" s="3" customFormat="1" ht="14.1" customHeight="1">
      <c r="A117" s="140"/>
      <c r="B117" s="105" t="s">
        <v>24</v>
      </c>
      <c r="C117" s="20" t="s">
        <v>14</v>
      </c>
      <c r="D117" s="20"/>
      <c r="E117" s="20"/>
      <c r="F117" s="20"/>
      <c r="G117" s="20"/>
      <c r="H117" s="20"/>
      <c r="I117" s="215"/>
      <c r="J117" s="215"/>
      <c r="K117" s="458" t="s">
        <v>36</v>
      </c>
      <c r="L117" s="459"/>
      <c r="M117" s="286">
        <f>M109</f>
        <v>0</v>
      </c>
      <c r="N117" s="71"/>
      <c r="O117" s="298"/>
      <c r="R117" s="182"/>
      <c r="S117" s="182"/>
      <c r="AC117" s="108"/>
      <c r="AD117" s="108"/>
      <c r="AE117" s="108"/>
      <c r="AF117"/>
      <c r="AJ117" s="108"/>
    </row>
    <row r="118" spans="1:36" s="3" customFormat="1" ht="14.1" customHeight="1">
      <c r="A118" s="140"/>
      <c r="B118" s="105" t="s">
        <v>25</v>
      </c>
      <c r="C118" s="20" t="s">
        <v>30</v>
      </c>
      <c r="D118" s="20"/>
      <c r="E118" s="20"/>
      <c r="F118" s="20"/>
      <c r="G118" s="20"/>
      <c r="H118" s="20"/>
      <c r="I118" s="215"/>
      <c r="J118" s="215"/>
      <c r="K118" s="454" t="str">
        <f>"="</f>
        <v>=</v>
      </c>
      <c r="L118" s="455"/>
      <c r="M118" s="286" t="str">
        <f>IF(M115="","",M115-SUM(M116:M117))</f>
        <v/>
      </c>
      <c r="N118" s="71"/>
      <c r="O118" s="298"/>
      <c r="R118" s="182"/>
      <c r="S118" s="182"/>
      <c r="AC118" s="108"/>
      <c r="AD118" s="108"/>
      <c r="AE118" s="108"/>
      <c r="AF118"/>
      <c r="AJ118" s="108"/>
    </row>
    <row r="119" spans="1:36" s="3" customFormat="1" ht="15" customHeight="1">
      <c r="A119" s="140"/>
      <c r="B119" s="105" t="s">
        <v>26</v>
      </c>
      <c r="C119" s="20" t="s">
        <v>159</v>
      </c>
      <c r="D119" s="20"/>
      <c r="E119" s="20"/>
      <c r="F119" s="20"/>
      <c r="G119" s="20"/>
      <c r="H119" s="215"/>
      <c r="I119" s="355" t="s">
        <v>113</v>
      </c>
      <c r="J119" s="356"/>
      <c r="K119" s="456">
        <v>2</v>
      </c>
      <c r="L119" s="457"/>
      <c r="M119" s="215"/>
      <c r="N119" s="71"/>
      <c r="O119" s="298"/>
      <c r="R119" s="237">
        <f>M120/100+1</f>
        <v>1</v>
      </c>
      <c r="S119" s="182"/>
      <c r="W119" s="241"/>
      <c r="AC119" s="108"/>
      <c r="AD119" s="108"/>
      <c r="AE119" s="108"/>
      <c r="AG119" s="108"/>
      <c r="AI119" s="108"/>
      <c r="AJ119" s="108"/>
    </row>
    <row r="120" spans="1:36" s="3" customFormat="1" ht="15" customHeight="1">
      <c r="A120" s="140"/>
      <c r="B120" s="105" t="s">
        <v>27</v>
      </c>
      <c r="C120" s="20" t="s">
        <v>96</v>
      </c>
      <c r="D120" s="20"/>
      <c r="E120" s="20"/>
      <c r="F120" s="20"/>
      <c r="G120" s="20"/>
      <c r="H120" s="215"/>
      <c r="I120" s="346" t="s">
        <v>113</v>
      </c>
      <c r="J120" s="347"/>
      <c r="K120" s="456"/>
      <c r="L120" s="457"/>
      <c r="M120" s="215"/>
      <c r="N120" s="71"/>
      <c r="O120" s="298"/>
      <c r="R120" s="182"/>
      <c r="S120" s="182"/>
      <c r="W120" s="241"/>
      <c r="AC120" s="108"/>
      <c r="AD120" s="108"/>
      <c r="AE120" s="108"/>
      <c r="AG120" s="108"/>
      <c r="AH120" s="108"/>
      <c r="AI120" s="108"/>
      <c r="AJ120" s="108"/>
    </row>
    <row r="121" spans="1:36" s="3" customFormat="1" ht="15" customHeight="1">
      <c r="A121" s="140"/>
      <c r="B121" s="105" t="s">
        <v>28</v>
      </c>
      <c r="C121" s="220" t="s">
        <v>3</v>
      </c>
      <c r="D121" s="20"/>
      <c r="E121" s="20"/>
      <c r="F121" s="20"/>
      <c r="G121" s="215"/>
      <c r="H121" s="215"/>
      <c r="I121" s="215"/>
      <c r="J121" s="215"/>
      <c r="K121" s="452">
        <f>SUM(K119:K120)</f>
        <v>2</v>
      </c>
      <c r="L121" s="453"/>
      <c r="M121" s="215"/>
      <c r="N121" s="106"/>
      <c r="O121" s="301"/>
      <c r="R121" s="182"/>
      <c r="S121" s="182"/>
      <c r="W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</row>
    <row r="122" spans="1:36" s="3" customFormat="1" ht="5.0999999999999996" customHeight="1">
      <c r="A122" s="140"/>
      <c r="B122" s="105"/>
      <c r="C122" s="20"/>
      <c r="D122" s="20"/>
      <c r="E122" s="20"/>
      <c r="F122" s="20"/>
      <c r="G122" s="20"/>
      <c r="H122" s="20"/>
      <c r="I122" s="20"/>
      <c r="J122" s="65"/>
      <c r="K122" s="42"/>
      <c r="L122" s="42"/>
      <c r="M122" s="42"/>
      <c r="N122" s="9"/>
      <c r="O122" s="26"/>
      <c r="R122" s="182"/>
      <c r="S122" s="182"/>
      <c r="AC122" s="108"/>
      <c r="AD122" s="108"/>
      <c r="AE122" s="108"/>
      <c r="AF122" s="108"/>
      <c r="AG122" s="108"/>
      <c r="AH122" s="108"/>
      <c r="AI122" s="108"/>
      <c r="AJ122" s="108"/>
    </row>
    <row r="123" spans="1:36" s="3" customFormat="1" ht="15" customHeight="1">
      <c r="A123" s="140"/>
      <c r="B123" s="105" t="s">
        <v>29</v>
      </c>
      <c r="C123" s="114" t="s">
        <v>15</v>
      </c>
      <c r="D123" s="115"/>
      <c r="E123" s="115"/>
      <c r="F123" s="115"/>
      <c r="G123" s="463"/>
      <c r="H123" s="463"/>
      <c r="I123" s="463"/>
      <c r="J123" s="463"/>
      <c r="K123" s="463"/>
      <c r="L123" s="116"/>
      <c r="M123" s="123">
        <f>IF(OR(M115="",SUM(K119:K120)=0),0,IF(M118&lt;=0,0,M118/SUM(K119:K120)*100))</f>
        <v>0</v>
      </c>
      <c r="N123" s="106"/>
      <c r="O123" s="301"/>
      <c r="R123" s="236"/>
      <c r="S123" s="421"/>
      <c r="T123" s="421"/>
      <c r="U123" s="421"/>
      <c r="V123" s="421"/>
      <c r="W123" s="207"/>
      <c r="AC123" s="108"/>
      <c r="AD123" s="108"/>
      <c r="AE123" s="108"/>
      <c r="AF123" s="108"/>
      <c r="AG123" s="108"/>
      <c r="AH123" s="108"/>
      <c r="AI123" s="108"/>
      <c r="AJ123" s="108"/>
    </row>
    <row r="124" spans="1:36" s="3" customFormat="1" ht="5.0999999999999996" customHeight="1">
      <c r="A124" s="140"/>
      <c r="B124" s="89"/>
      <c r="C124" s="126"/>
      <c r="D124" s="31"/>
      <c r="E124" s="31"/>
      <c r="F124" s="31"/>
      <c r="G124" s="31"/>
      <c r="H124" s="31"/>
      <c r="I124" s="31"/>
      <c r="J124" s="100"/>
      <c r="K124" s="127"/>
      <c r="L124" s="100"/>
      <c r="M124" s="128"/>
      <c r="N124" s="103"/>
      <c r="O124" s="301"/>
      <c r="R124" s="182"/>
      <c r="S124" s="182"/>
      <c r="AJ124" s="108"/>
    </row>
    <row r="125" spans="1:36" s="3" customFormat="1" ht="7.9" customHeight="1">
      <c r="A125" s="140"/>
      <c r="B125" s="47"/>
      <c r="C125" s="20"/>
      <c r="D125" s="20"/>
      <c r="E125" s="20"/>
      <c r="F125" s="20"/>
      <c r="G125" s="20"/>
      <c r="H125" s="20"/>
      <c r="I125" s="20"/>
      <c r="J125" s="65"/>
      <c r="K125" s="42"/>
      <c r="L125" s="70"/>
      <c r="M125" s="129"/>
      <c r="N125" s="36"/>
      <c r="O125" s="36"/>
      <c r="R125" s="182"/>
      <c r="S125" s="182"/>
      <c r="AJ125" s="108"/>
    </row>
    <row r="126" spans="1:36" s="21" customFormat="1" ht="15.75" customHeight="1">
      <c r="A126" s="450" t="s">
        <v>133</v>
      </c>
      <c r="B126" s="192" t="s">
        <v>41</v>
      </c>
      <c r="C126" s="186" t="s">
        <v>42</v>
      </c>
      <c r="D126" s="39"/>
      <c r="E126" s="39"/>
      <c r="F126" s="39"/>
      <c r="G126" s="39"/>
      <c r="H126" s="39"/>
      <c r="I126" s="39"/>
      <c r="J126" s="130"/>
      <c r="K126" s="131"/>
      <c r="L126" s="130"/>
      <c r="M126" s="132"/>
      <c r="N126" s="22"/>
      <c r="O126" s="302"/>
      <c r="R126" s="108"/>
      <c r="S126" s="181"/>
      <c r="AG126" s="3"/>
      <c r="AH126" s="3"/>
      <c r="AI126" s="3"/>
      <c r="AJ126" s="108"/>
    </row>
    <row r="127" spans="1:36" s="108" customFormat="1" ht="14.1" customHeight="1">
      <c r="A127" s="450"/>
      <c r="B127" s="202" t="s">
        <v>22</v>
      </c>
      <c r="C127" s="83" t="s">
        <v>117</v>
      </c>
      <c r="D127" s="83"/>
      <c r="E127" s="83"/>
      <c r="F127" s="83"/>
      <c r="G127" s="83"/>
      <c r="H127" s="83"/>
      <c r="I127" s="83"/>
      <c r="J127" s="42"/>
      <c r="K127" s="460" t="str">
        <f>M45</f>
        <v/>
      </c>
      <c r="L127" s="461"/>
      <c r="M127" s="462"/>
      <c r="N127" s="109"/>
      <c r="O127" s="303"/>
      <c r="R127" s="184"/>
      <c r="S127" s="184"/>
      <c r="AG127" s="3"/>
      <c r="AH127" s="3"/>
      <c r="AI127" s="3"/>
    </row>
    <row r="128" spans="1:36" s="3" customFormat="1" ht="14.1" customHeight="1">
      <c r="A128" s="450"/>
      <c r="B128" s="105" t="s">
        <v>23</v>
      </c>
      <c r="C128" s="20" t="s">
        <v>37</v>
      </c>
      <c r="D128" s="20"/>
      <c r="E128" s="20"/>
      <c r="F128" s="20"/>
      <c r="G128" s="20"/>
      <c r="H128" s="20"/>
      <c r="I128" s="20"/>
      <c r="J128" s="104" t="s">
        <v>17</v>
      </c>
      <c r="K128" s="460" t="str">
        <f>IF(J104=0,"",J104)</f>
        <v/>
      </c>
      <c r="L128" s="461"/>
      <c r="M128" s="462"/>
      <c r="N128" s="110"/>
      <c r="O128" s="304"/>
      <c r="R128" s="182"/>
      <c r="S128" s="182"/>
      <c r="W128" s="207"/>
      <c r="AJ128" s="108"/>
    </row>
    <row r="129" spans="1:36" s="3" customFormat="1" ht="14.1" customHeight="1">
      <c r="A129" s="450"/>
      <c r="B129" s="105" t="s">
        <v>24</v>
      </c>
      <c r="C129" s="20" t="s">
        <v>38</v>
      </c>
      <c r="D129" s="20"/>
      <c r="E129" s="20"/>
      <c r="F129" s="20"/>
      <c r="G129" s="20"/>
      <c r="H129" s="20"/>
      <c r="I129" s="20"/>
      <c r="J129" s="104" t="s">
        <v>17</v>
      </c>
      <c r="K129" s="460">
        <f>M123</f>
        <v>0</v>
      </c>
      <c r="L129" s="461"/>
      <c r="M129" s="462"/>
      <c r="N129" s="110"/>
      <c r="O129" s="304"/>
      <c r="R129" s="182"/>
      <c r="S129" s="182"/>
      <c r="AH129" s="108"/>
      <c r="AI129" s="108"/>
      <c r="AJ129" s="108"/>
    </row>
    <row r="130" spans="1:36" s="3" customFormat="1" ht="5.0999999999999996" customHeight="1">
      <c r="A130" s="450"/>
      <c r="B130" s="105"/>
      <c r="C130" s="20"/>
      <c r="D130" s="20"/>
      <c r="E130" s="20"/>
      <c r="F130" s="20"/>
      <c r="G130" s="20"/>
      <c r="H130" s="20"/>
      <c r="I130" s="20"/>
      <c r="J130" s="65"/>
      <c r="K130" s="140"/>
      <c r="L130" s="65"/>
      <c r="M130" s="133"/>
      <c r="N130" s="78"/>
      <c r="O130" s="304"/>
      <c r="R130" s="182"/>
      <c r="S130" s="182"/>
      <c r="AH130" s="108"/>
      <c r="AI130" s="108"/>
      <c r="AJ130" s="108"/>
    </row>
    <row r="131" spans="1:36" s="4" customFormat="1" ht="15.95" customHeight="1">
      <c r="A131" s="450"/>
      <c r="B131" s="134" t="s">
        <v>25</v>
      </c>
      <c r="C131" s="135" t="s">
        <v>73</v>
      </c>
      <c r="D131" s="136"/>
      <c r="E131" s="136"/>
      <c r="F131" s="136"/>
      <c r="G131" s="451" t="str">
        <f>IF(K131="","",K131/K127*100)</f>
        <v/>
      </c>
      <c r="H131" s="451"/>
      <c r="I131" s="451"/>
      <c r="J131" s="451"/>
      <c r="K131" s="393" t="str">
        <f>IF(K127="","",IF(K127-SUM(K128:M129)&lt;0,0,K127-SUM(K128:M129)))</f>
        <v/>
      </c>
      <c r="L131" s="393"/>
      <c r="M131" s="394"/>
      <c r="N131" s="111"/>
      <c r="O131" s="305"/>
      <c r="R131" s="185"/>
      <c r="S131" s="185"/>
      <c r="AH131" s="218"/>
      <c r="AI131" s="108"/>
      <c r="AJ131" s="108"/>
    </row>
    <row r="132" spans="1:36" s="4" customFormat="1" ht="5.0999999999999996" customHeight="1">
      <c r="B132" s="210"/>
      <c r="C132" s="160"/>
      <c r="D132" s="160"/>
      <c r="E132" s="160"/>
      <c r="F132" s="160"/>
      <c r="G132" s="160"/>
      <c r="H132" s="160"/>
      <c r="I132" s="160"/>
      <c r="J132" s="44"/>
      <c r="K132" s="211"/>
      <c r="L132" s="125"/>
      <c r="M132" s="212"/>
      <c r="N132" s="213"/>
      <c r="O132" s="304"/>
      <c r="R132" s="185"/>
      <c r="S132" s="185"/>
      <c r="AH132" s="218"/>
      <c r="AI132" s="108"/>
      <c r="AJ132" s="108"/>
    </row>
    <row r="133" spans="1:36" s="3" customFormat="1" ht="4.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182"/>
      <c r="S133" s="182"/>
      <c r="AH133" s="108"/>
      <c r="AI133" s="108"/>
      <c r="AJ133" s="108"/>
    </row>
    <row r="134" spans="1:36" ht="20.25" customHeight="1">
      <c r="A134" s="59"/>
      <c r="B134" s="341"/>
      <c r="C134" s="341"/>
      <c r="D134" s="341"/>
      <c r="E134" s="341"/>
      <c r="F134" s="341"/>
      <c r="G134" s="214"/>
      <c r="H134" s="342"/>
      <c r="I134" s="342"/>
      <c r="J134" s="342"/>
      <c r="K134" s="342"/>
      <c r="L134" s="342"/>
      <c r="M134" s="342"/>
      <c r="N134" s="342"/>
      <c r="O134" s="59"/>
      <c r="P134" s="59"/>
      <c r="Q134" s="59"/>
    </row>
    <row r="135" spans="1:36" ht="12.75">
      <c r="A135" s="59"/>
      <c r="B135" s="284" t="s">
        <v>71</v>
      </c>
      <c r="C135" s="284"/>
      <c r="D135" s="284"/>
      <c r="E135" s="59"/>
      <c r="F135" s="59"/>
      <c r="G135" s="214"/>
      <c r="H135" s="284" t="s">
        <v>105</v>
      </c>
      <c r="I135" s="215"/>
      <c r="J135" s="215"/>
      <c r="K135" s="59"/>
      <c r="L135" s="59"/>
      <c r="M135" s="59"/>
      <c r="N135" s="59"/>
      <c r="O135" s="59"/>
      <c r="P135" s="59"/>
      <c r="Q135" s="59"/>
    </row>
  </sheetData>
  <sheetProtection password="C479" sheet="1" objects="1" scenarios="1"/>
  <dataConsolidate/>
  <mergeCells count="134">
    <mergeCell ref="AD76:AF76"/>
    <mergeCell ref="Y48:Y52"/>
    <mergeCell ref="I81:J81"/>
    <mergeCell ref="I49:J51"/>
    <mergeCell ref="I55:J55"/>
    <mergeCell ref="I56:J56"/>
    <mergeCell ref="I57:J57"/>
    <mergeCell ref="C68:L69"/>
    <mergeCell ref="D53:E53"/>
    <mergeCell ref="D55:E55"/>
    <mergeCell ref="D56:E56"/>
    <mergeCell ref="AC45:AC48"/>
    <mergeCell ref="AA46:AA48"/>
    <mergeCell ref="AB45:AB48"/>
    <mergeCell ref="H62:J62"/>
    <mergeCell ref="I80:J80"/>
    <mergeCell ref="G79:H79"/>
    <mergeCell ref="G74:H74"/>
    <mergeCell ref="I78:J78"/>
    <mergeCell ref="H19:I19"/>
    <mergeCell ref="K117:L117"/>
    <mergeCell ref="I102:J102"/>
    <mergeCell ref="I106:J106"/>
    <mergeCell ref="K98:L98"/>
    <mergeCell ref="H94:K94"/>
    <mergeCell ref="I83:J83"/>
    <mergeCell ref="I98:J98"/>
    <mergeCell ref="I101:J101"/>
    <mergeCell ref="D102:H102"/>
    <mergeCell ref="I87:J87"/>
    <mergeCell ref="I88:J88"/>
    <mergeCell ref="G88:H88"/>
    <mergeCell ref="G82:H82"/>
    <mergeCell ref="G98:H98"/>
    <mergeCell ref="G78:H78"/>
    <mergeCell ref="C82:F82"/>
    <mergeCell ref="C78:F78"/>
    <mergeCell ref="C79:F79"/>
    <mergeCell ref="J104:K104"/>
    <mergeCell ref="I91:J91"/>
    <mergeCell ref="I79:J79"/>
    <mergeCell ref="I72:J72"/>
    <mergeCell ref="C83:F83"/>
    <mergeCell ref="I89:J89"/>
    <mergeCell ref="G80:H80"/>
    <mergeCell ref="G72:H72"/>
    <mergeCell ref="A126:A131"/>
    <mergeCell ref="G131:J131"/>
    <mergeCell ref="K121:L121"/>
    <mergeCell ref="I107:J107"/>
    <mergeCell ref="K118:L118"/>
    <mergeCell ref="K119:L119"/>
    <mergeCell ref="K115:L115"/>
    <mergeCell ref="K116:L116"/>
    <mergeCell ref="K120:L120"/>
    <mergeCell ref="K129:M129"/>
    <mergeCell ref="K127:M127"/>
    <mergeCell ref="K128:M128"/>
    <mergeCell ref="G123:K123"/>
    <mergeCell ref="K113:M113"/>
    <mergeCell ref="G73:K73"/>
    <mergeCell ref="C77:F77"/>
    <mergeCell ref="S123:V123"/>
    <mergeCell ref="C1:N2"/>
    <mergeCell ref="I77:J77"/>
    <mergeCell ref="I82:J82"/>
    <mergeCell ref="C81:F81"/>
    <mergeCell ref="G81:H81"/>
    <mergeCell ref="I58:J58"/>
    <mergeCell ref="I60:J60"/>
    <mergeCell ref="I74:J74"/>
    <mergeCell ref="D33:E33"/>
    <mergeCell ref="M7:N7"/>
    <mergeCell ref="D31:E31"/>
    <mergeCell ref="G31:K31"/>
    <mergeCell ref="B8:N8"/>
    <mergeCell ref="G52:H52"/>
    <mergeCell ref="G86:H86"/>
    <mergeCell ref="G101:H101"/>
    <mergeCell ref="I86:J86"/>
    <mergeCell ref="I71:J71"/>
    <mergeCell ref="G91:H91"/>
    <mergeCell ref="G77:H77"/>
    <mergeCell ref="G89:H89"/>
    <mergeCell ref="C72:F72"/>
    <mergeCell ref="G87:H87"/>
    <mergeCell ref="AJ83:AJ85"/>
    <mergeCell ref="D32:E32"/>
    <mergeCell ref="G56:H56"/>
    <mergeCell ref="C80:F80"/>
    <mergeCell ref="D52:F52"/>
    <mergeCell ref="C73:F73"/>
    <mergeCell ref="C74:F74"/>
    <mergeCell ref="I59:J59"/>
    <mergeCell ref="G60:H60"/>
    <mergeCell ref="C64:E64"/>
    <mergeCell ref="D57:E57"/>
    <mergeCell ref="D60:E60"/>
    <mergeCell ref="J43:K43"/>
    <mergeCell ref="G53:H53"/>
    <mergeCell ref="G54:H54"/>
    <mergeCell ref="G55:H55"/>
    <mergeCell ref="D58:E58"/>
    <mergeCell ref="G58:H58"/>
    <mergeCell ref="C49:C51"/>
    <mergeCell ref="I53:J53"/>
    <mergeCell ref="D54:E54"/>
    <mergeCell ref="D34:E34"/>
    <mergeCell ref="G32:K32"/>
    <mergeCell ref="G83:H83"/>
    <mergeCell ref="B134:F134"/>
    <mergeCell ref="H134:N134"/>
    <mergeCell ref="I6:N6"/>
    <mergeCell ref="I120:J120"/>
    <mergeCell ref="I54:J54"/>
    <mergeCell ref="K49:K51"/>
    <mergeCell ref="H18:I18"/>
    <mergeCell ref="I52:J52"/>
    <mergeCell ref="I119:J119"/>
    <mergeCell ref="B1:B7"/>
    <mergeCell ref="C7:G7"/>
    <mergeCell ref="C5:G5"/>
    <mergeCell ref="I7:L7"/>
    <mergeCell ref="C71:F71"/>
    <mergeCell ref="B68:B69"/>
    <mergeCell ref="G49:H51"/>
    <mergeCell ref="B49:B50"/>
    <mergeCell ref="H5:N5"/>
    <mergeCell ref="G71:H71"/>
    <mergeCell ref="G33:K33"/>
    <mergeCell ref="G57:H57"/>
    <mergeCell ref="D49:F51"/>
    <mergeCell ref="G34:K34"/>
    <mergeCell ref="K131:M131"/>
  </mergeCells>
  <phoneticPr fontId="6" type="noConversion"/>
  <conditionalFormatting sqref="M123">
    <cfRule type="cellIs" dxfId="28" priority="74" stopIfTrue="1" operator="equal">
      <formula>"Fehler"</formula>
    </cfRule>
  </conditionalFormatting>
  <conditionalFormatting sqref="I71:J71">
    <cfRule type="expression" dxfId="27" priority="56" stopIfTrue="1">
      <formula>$Q$71=1</formula>
    </cfRule>
  </conditionalFormatting>
  <conditionalFormatting sqref="I72:J72">
    <cfRule type="expression" dxfId="26" priority="42" stopIfTrue="1">
      <formula>$Q$72=1</formula>
    </cfRule>
  </conditionalFormatting>
  <conditionalFormatting sqref="I74:J74">
    <cfRule type="expression" dxfId="25" priority="40" stopIfTrue="1">
      <formula>$Q$74=1</formula>
    </cfRule>
  </conditionalFormatting>
  <conditionalFormatting sqref="G24">
    <cfRule type="expression" dxfId="24" priority="39" stopIfTrue="1">
      <formula>$F$24&lt;&gt;""</formula>
    </cfRule>
  </conditionalFormatting>
  <conditionalFormatting sqref="G22">
    <cfRule type="expression" dxfId="23" priority="38" stopIfTrue="1">
      <formula>$F$22&lt;&gt;""</formula>
    </cfRule>
  </conditionalFormatting>
  <conditionalFormatting sqref="D22">
    <cfRule type="expression" dxfId="22" priority="36" stopIfTrue="1">
      <formula>$C$22&lt;&gt;""</formula>
    </cfRule>
  </conditionalFormatting>
  <conditionalFormatting sqref="D24">
    <cfRule type="expression" dxfId="21" priority="35" stopIfTrue="1">
      <formula>$C$24&lt;&gt;""</formula>
    </cfRule>
  </conditionalFormatting>
  <conditionalFormatting sqref="M78:M83">
    <cfRule type="cellIs" dxfId="20" priority="34" stopIfTrue="1" operator="equal">
      <formula>"Fehler"</formula>
    </cfRule>
  </conditionalFormatting>
  <conditionalFormatting sqref="G20">
    <cfRule type="expression" dxfId="19" priority="30" stopIfTrue="1">
      <formula>$F$20&lt;&gt;""</formula>
    </cfRule>
  </conditionalFormatting>
  <conditionalFormatting sqref="C10">
    <cfRule type="cellIs" dxfId="18" priority="29" stopIfTrue="1" operator="equal">
      <formula>"Bitte Maßnahme auswählen"</formula>
    </cfRule>
  </conditionalFormatting>
  <conditionalFormatting sqref="C9">
    <cfRule type="cellIs" dxfId="17" priority="28" stopIfTrue="1" operator="equal">
      <formula>"""Bitte Maßnahme auswählen"""</formula>
    </cfRule>
  </conditionalFormatting>
  <conditionalFormatting sqref="I53:J53">
    <cfRule type="expression" dxfId="16" priority="22">
      <formula>AND($C53&lt;&gt;"",$I53="")</formula>
    </cfRule>
  </conditionalFormatting>
  <conditionalFormatting sqref="K53">
    <cfRule type="expression" dxfId="15" priority="21">
      <formula>AND($C53&lt;&gt;"",$K53="")</formula>
    </cfRule>
  </conditionalFormatting>
  <conditionalFormatting sqref="I54:J58">
    <cfRule type="expression" dxfId="14" priority="20">
      <formula>AND($C54&lt;&gt;"",$I54="")</formula>
    </cfRule>
  </conditionalFormatting>
  <conditionalFormatting sqref="K54:K60">
    <cfRule type="expression" dxfId="13" priority="19">
      <formula>AND($C54&lt;&gt;"",$K54="")</formula>
    </cfRule>
  </conditionalFormatting>
  <conditionalFormatting sqref="C53">
    <cfRule type="expression" dxfId="12" priority="14">
      <formula>AND($I53&lt;&gt;"",$K53&lt;&gt;"",$C53="")</formula>
    </cfRule>
  </conditionalFormatting>
  <conditionalFormatting sqref="C54:C57">
    <cfRule type="expression" dxfId="11" priority="13">
      <formula>AND($I54&lt;&gt;"",$K54&lt;&gt;"",$C54="")</formula>
    </cfRule>
  </conditionalFormatting>
  <conditionalFormatting sqref="C58:C60">
    <cfRule type="expression" dxfId="10" priority="12">
      <formula>AND($K58&lt;&gt;"",$C58="")</formula>
    </cfRule>
  </conditionalFormatting>
  <conditionalFormatting sqref="I77:J81">
    <cfRule type="expression" dxfId="8" priority="10">
      <formula>$Q77=1</formula>
    </cfRule>
  </conditionalFormatting>
  <conditionalFormatting sqref="I82:J83">
    <cfRule type="expression" dxfId="7" priority="9">
      <formula>$Q82=1</formula>
    </cfRule>
  </conditionalFormatting>
  <conditionalFormatting sqref="I86:J86">
    <cfRule type="expression" dxfId="6" priority="7">
      <formula>$Q86=1</formula>
    </cfRule>
  </conditionalFormatting>
  <conditionalFormatting sqref="I87:J87">
    <cfRule type="expression" dxfId="5" priority="6">
      <formula>$Q87=1</formula>
    </cfRule>
  </conditionalFormatting>
  <conditionalFormatting sqref="I88:J88">
    <cfRule type="expression" dxfId="4" priority="5">
      <formula>$Q88=1</formula>
    </cfRule>
  </conditionalFormatting>
  <conditionalFormatting sqref="I89:J89">
    <cfRule type="expression" dxfId="3" priority="4">
      <formula>$Q89=1</formula>
    </cfRule>
  </conditionalFormatting>
  <conditionalFormatting sqref="G77:H77">
    <cfRule type="cellIs" dxfId="1" priority="2" operator="greaterThan">
      <formula>$C$77</formula>
    </cfRule>
  </conditionalFormatting>
  <conditionalFormatting sqref="G78:H81">
    <cfRule type="cellIs" dxfId="0" priority="1" operator="greaterThan">
      <formula>$C$77</formula>
    </cfRule>
  </conditionalFormatting>
  <dataValidations count="15">
    <dataValidation type="decimal" operator="lessThanOrEqual" allowBlank="1" showInputMessage="1" showErrorMessage="1" error="Obergrenze 2 Prozent" sqref="K106">
      <formula1>2</formula1>
    </dataValidation>
    <dataValidation type="decimal" operator="lessThanOrEqual" allowBlank="1" showInputMessage="1" showErrorMessage="1" error="max. 2,0 Prozent" sqref="K107">
      <formula1>2</formula1>
    </dataValidation>
    <dataValidation type="decimal" operator="lessThanOrEqual" allowBlank="1" showInputMessage="1" showErrorMessage="1" error="Mindestausfallwagnis bei Garagen 3 Prozent, Regelwert 5 Prozent" sqref="G89:H89">
      <formula1>5</formula1>
    </dataValidation>
    <dataValidation type="decimal" operator="lessThanOrEqual" allowBlank="1" showInputMessage="1" showErrorMessage="1" error="Größter Wert 44,83 €" sqref="G74:H74">
      <formula1>44.83</formula1>
    </dataValidation>
    <dataValidation type="decimal" operator="lessThanOrEqual" allowBlank="1" showErrorMessage="1" error="Höchstwert als Pauschale beträgt 343,69 € gem. §26 II. BV" sqref="G71:H71">
      <formula1>343.69</formula1>
    </dataValidation>
    <dataValidation type="decimal" allowBlank="1" showInputMessage="1" showErrorMessage="1" error="Höchstwert 101,62 €" sqref="G82:H82">
      <formula1>30</formula1>
      <formula2>101.62</formula2>
    </dataValidation>
    <dataValidation type="decimal" allowBlank="1" showInputMessage="1" showErrorMessage="1" error="Höchstwert 44,83 €" sqref="G83:H83">
      <formula1>30</formula1>
      <formula2>44.83</formula2>
    </dataValidation>
    <dataValidation type="decimal" operator="lessThanOrEqual" allowBlank="1" showInputMessage="1" showErrorMessage="1" sqref="G87:H87">
      <formula1>4</formula1>
    </dataValidation>
    <dataValidation type="decimal" allowBlank="1" showInputMessage="1" showErrorMessage="1" sqref="G88:H88">
      <formula1>2</formula1>
      <formula2>4</formula2>
    </dataValidation>
    <dataValidation type="decimal" operator="lessThanOrEqual" allowBlank="1" showInputMessage="1" showErrorMessage="1" error="zulässig max. 3,0%" sqref="K119:L119">
      <formula1>3</formula1>
    </dataValidation>
    <dataValidation type="decimal" operator="lessThanOrEqual" allowBlank="1" showInputMessage="1" showErrorMessage="1" error="Zulässig max. 2,0 %" sqref="K120:L120">
      <formula1>2</formula1>
    </dataValidation>
    <dataValidation type="decimal" sqref="C72:F72">
      <formula1>3</formula1>
      <formula2>5</formula2>
    </dataValidation>
    <dataValidation type="decimal" operator="lessThanOrEqual" allowBlank="1" showErrorMessage="1" error="Eingabebereich liegt bei 4 Prozent_x000a_" sqref="G72:H72">
      <formula1>4</formula1>
    </dataValidation>
    <dataValidation type="decimal" operator="lessThanOrEqual" allowBlank="1" showInputMessage="1" showErrorMessage="1" sqref="G73">
      <formula1>5</formula1>
    </dataValidation>
    <dataValidation type="decimal" operator="lessThanOrEqual" allowBlank="1" showInputMessage="1" showErrorMessage="1" sqref="G86:H86">
      <formula1>4</formula1>
    </dataValidation>
  </dataValidations>
  <printOptions horizontalCentered="1" verticalCentered="1"/>
  <pageMargins left="0.31496062992125984" right="0.19685039370078741" top="0.23622047244094491" bottom="0.39370078740157483" header="0.11811023622047245" footer="0.11811023622047245"/>
  <pageSetup paperSize="9" orientation="portrait" r:id="rId1"/>
  <headerFooter differentOddEven="1" scaleWithDoc="0" alignWithMargins="0">
    <oddFooter>&amp;L&amp;8&amp;D&amp;R&amp;8Seite &amp;P von &amp;N</oddFooter>
  </headerFooter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Drop Down 54">
              <controlPr defaultSize="0" autoLine="0" autoPict="0">
                <anchor moveWithCells="1">
                  <from>
                    <xdr:col>3</xdr:col>
                    <xdr:colOff>9525</xdr:colOff>
                    <xdr:row>52</xdr:row>
                    <xdr:rowOff>0</xdr:rowOff>
                  </from>
                  <to>
                    <xdr:col>5</xdr:col>
                    <xdr:colOff>190500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Drop Down 55">
              <controlPr defaultSize="0" autoLine="0" autoPict="0">
                <anchor moveWithCells="1">
                  <from>
                    <xdr:col>3</xdr:col>
                    <xdr:colOff>9525</xdr:colOff>
                    <xdr:row>53</xdr:row>
                    <xdr:rowOff>0</xdr:rowOff>
                  </from>
                  <to>
                    <xdr:col>5</xdr:col>
                    <xdr:colOff>200025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Drop Down 56">
              <controlPr defaultSize="0" autoLine="0" autoPict="0">
                <anchor moveWithCells="1">
                  <from>
                    <xdr:col>3</xdr:col>
                    <xdr:colOff>9525</xdr:colOff>
                    <xdr:row>54</xdr:row>
                    <xdr:rowOff>0</xdr:rowOff>
                  </from>
                  <to>
                    <xdr:col>5</xdr:col>
                    <xdr:colOff>200025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Drop Down 57">
              <controlPr defaultSize="0" autoLine="0" autoPict="0">
                <anchor moveWithCells="1">
                  <from>
                    <xdr:col>3</xdr:col>
                    <xdr:colOff>9525</xdr:colOff>
                    <xdr:row>55</xdr:row>
                    <xdr:rowOff>0</xdr:rowOff>
                  </from>
                  <to>
                    <xdr:col>5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Drop Down 58">
              <controlPr defaultSize="0" autoLine="0" autoPict="0">
                <anchor moveWithCells="1">
                  <from>
                    <xdr:col>3</xdr:col>
                    <xdr:colOff>9525</xdr:colOff>
                    <xdr:row>56</xdr:row>
                    <xdr:rowOff>0</xdr:rowOff>
                  </from>
                  <to>
                    <xdr:col>5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Drop Down 59">
              <controlPr defaultSize="0" autoLine="0" autoPict="0">
                <anchor moveWithCells="1">
                  <from>
                    <xdr:col>3</xdr:col>
                    <xdr:colOff>9525</xdr:colOff>
                    <xdr:row>57</xdr:row>
                    <xdr:rowOff>0</xdr:rowOff>
                  </from>
                  <to>
                    <xdr:col>6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" name="Check Box 165">
              <controlPr defaultSize="0" autoFill="0" autoLine="0" autoPict="0">
                <anchor moveWithCells="1">
                  <from>
                    <xdr:col>2</xdr:col>
                    <xdr:colOff>9525</xdr:colOff>
                    <xdr:row>20</xdr:row>
                    <xdr:rowOff>47625</xdr:rowOff>
                  </from>
                  <to>
                    <xdr:col>4</xdr:col>
                    <xdr:colOff>552450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" name="Check Box 166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38100</xdr:rowOff>
                  </from>
                  <to>
                    <xdr:col>4</xdr:col>
                    <xdr:colOff>552450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" name="Check Box 167">
              <controlPr defaultSize="0" autoFill="0" autoLine="0" autoPict="0">
                <anchor moveWithCells="1">
                  <from>
                    <xdr:col>4</xdr:col>
                    <xdr:colOff>600075</xdr:colOff>
                    <xdr:row>21</xdr:row>
                    <xdr:rowOff>0</xdr:rowOff>
                  </from>
                  <to>
                    <xdr:col>10</xdr:col>
                    <xdr:colOff>219075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" name="Check Box 168">
              <controlPr defaultSize="0" autoFill="0" autoLine="0" autoPict="0">
                <anchor moveWithCells="1">
                  <from>
                    <xdr:col>4</xdr:col>
                    <xdr:colOff>609600</xdr:colOff>
                    <xdr:row>23</xdr:row>
                    <xdr:rowOff>0</xdr:rowOff>
                  </from>
                  <to>
                    <xdr:col>10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" name="Drop Down 172">
              <controlPr defaultSize="0" autoLine="0" autoPict="0">
                <anchor moveWithCells="1">
                  <from>
                    <xdr:col>8</xdr:col>
                    <xdr:colOff>9525</xdr:colOff>
                    <xdr:row>6</xdr:row>
                    <xdr:rowOff>0</xdr:rowOff>
                  </from>
                  <to>
                    <xdr:col>14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4"/>
  <sheetViews>
    <sheetView workbookViewId="0">
      <selection activeCell="M36" sqref="M36"/>
    </sheetView>
  </sheetViews>
  <sheetFormatPr baseColWidth="10" defaultRowHeight="12.75"/>
  <sheetData>
    <row r="1" spans="1:1">
      <c r="A1">
        <v>1</v>
      </c>
    </row>
    <row r="4" spans="1:1">
      <c r="A4" t="s">
        <v>160</v>
      </c>
    </row>
  </sheetData>
  <phoneticPr fontId="6" type="noConversion"/>
  <printOptions gridLines="1" gridLinesSet="0"/>
  <pageMargins left="0.74803149606299213" right="0.74803149606299213" top="1.1811023622047245" bottom="0.78740157480314965" header="0.51181102362204722" footer="0.39370078740157483"/>
  <pageSetup paperSize="9" orientation="portrait" horizontalDpi="4294967292" r:id="rId1"/>
  <headerFooter alignWithMargins="0">
    <oddFooter xml:space="preserve">&amp;R&amp;11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/>
  <sheetData>
    <row r="1" spans="1:1">
      <c r="A1">
        <v>1</v>
      </c>
    </row>
  </sheetData>
  <phoneticPr fontId="6" type="noConversion"/>
  <printOptions gridLines="1" gridLinesSet="0"/>
  <pageMargins left="0.74803149606299213" right="0.74803149606299213" top="1.1811023622047245" bottom="0.78740157480314965" header="0.51181102362204722" footer="0.39370078740157483"/>
  <pageSetup paperSize="9" orientation="portrait" horizontalDpi="4294967292" r:id="rId1"/>
  <headerFooter alignWithMargins="0">
    <oddFooter xml:space="preserve">&amp;R&amp;11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/>
  <sheetData/>
  <phoneticPr fontId="6" type="noConversion"/>
  <printOptions gridLines="1" gridLinesSet="0"/>
  <pageMargins left="0.74803149606299213" right="0.74803149606299213" top="1.1811023622047245" bottom="0.78740157480314965" header="0.51181102362204722" footer="0.39370078740157483"/>
  <pageSetup paperSize="9" orientation="portrait" horizontalDpi="4294967292" r:id="rId1"/>
  <headerFooter alignWithMargins="0">
    <oddFooter xml:space="preserve">&amp;R&amp;11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Gesamtertrag Euro</dc:title>
  <dc:creator>Heinzberger</dc:creator>
  <cp:lastModifiedBy>Adam, Gerd</cp:lastModifiedBy>
  <cp:lastPrinted>2023-02-09T10:59:14Z</cp:lastPrinted>
  <dcterms:created xsi:type="dcterms:W3CDTF">2002-05-08T13:19:07Z</dcterms:created>
  <dcterms:modified xsi:type="dcterms:W3CDTF">2023-05-12T10:07:35Z</dcterms:modified>
</cp:coreProperties>
</file>