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/>
  <mc:AlternateContent xmlns:mc="http://schemas.openxmlformats.org/markup-compatibility/2006">
    <mc:Choice Requires="x15">
      <x15ac:absPath xmlns:x15ac="http://schemas.microsoft.com/office/spreadsheetml/2010/11/ac" url="H:\537000_Mitarbeiter\A5372\FöP´s\Hessen-Mikrodarlehen\Zusage Schritt 1 (CF-Vorlage, Rechner, Musterdarlehensberechnung, Kundenannahmeformular)\"/>
    </mc:Choice>
  </mc:AlternateContent>
  <xr:revisionPtr revIDLastSave="0" documentId="8_{21E81A69-01A5-4A80-98A5-03768DF80755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Tabelle1" sheetId="1" r:id="rId1"/>
  </sheets>
  <definedNames>
    <definedName name="start">Tabelle1!$A$4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5" i="1" l="1"/>
  <c r="J43" i="1"/>
  <c r="J41" i="1"/>
  <c r="J39" i="1"/>
  <c r="J37" i="1"/>
  <c r="J35" i="1"/>
  <c r="J33" i="1"/>
  <c r="J31" i="1"/>
  <c r="J29" i="1"/>
  <c r="J27" i="1"/>
  <c r="J25" i="1"/>
  <c r="J23" i="1"/>
  <c r="J21" i="1"/>
  <c r="J19" i="1"/>
  <c r="J17" i="1"/>
  <c r="H87" i="1"/>
  <c r="J10" i="1"/>
  <c r="H17" i="1" l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16" i="1"/>
  <c r="J42" i="1"/>
  <c r="J44" i="1" l="1"/>
  <c r="J14" i="1"/>
  <c r="J30" i="1"/>
  <c r="J32" i="1"/>
  <c r="J18" i="1"/>
  <c r="J34" i="1"/>
  <c r="J16" i="1"/>
  <c r="J20" i="1"/>
  <c r="J36" i="1"/>
  <c r="J28" i="1"/>
  <c r="J22" i="1"/>
  <c r="J38" i="1"/>
  <c r="J24" i="1"/>
  <c r="J40" i="1"/>
  <c r="J26" i="1"/>
  <c r="E4" i="1"/>
  <c r="G4" i="1" s="1"/>
  <c r="F4" i="1" l="1"/>
  <c r="A5" i="1"/>
  <c r="B5" i="1" s="1"/>
  <c r="C5" i="1" s="1"/>
  <c r="A6" i="1" l="1"/>
  <c r="A7" i="1" s="1"/>
  <c r="A8" i="1" s="1"/>
  <c r="B6" i="1" l="1"/>
  <c r="C6" i="1" s="1"/>
  <c r="B7" i="1"/>
  <c r="C7" i="1" s="1"/>
  <c r="A9" i="1"/>
  <c r="B8" i="1"/>
  <c r="C8" i="1" s="1"/>
  <c r="A10" i="1" l="1"/>
  <c r="B9" i="1"/>
  <c r="C9" i="1" s="1"/>
  <c r="A11" i="1" l="1"/>
  <c r="B10" i="1"/>
  <c r="C10" i="1" s="1"/>
  <c r="A12" i="1" l="1"/>
  <c r="B11" i="1"/>
  <c r="C11" i="1" s="1"/>
  <c r="A13" i="1" l="1"/>
  <c r="B12" i="1"/>
  <c r="C12" i="1" s="1"/>
  <c r="A14" i="1" l="1"/>
  <c r="B13" i="1"/>
  <c r="C13" i="1" s="1"/>
  <c r="A15" i="1" l="1"/>
  <c r="B14" i="1"/>
  <c r="C14" i="1" s="1"/>
  <c r="A16" i="1" l="1"/>
  <c r="B15" i="1"/>
  <c r="C15" i="1" s="1"/>
  <c r="A17" i="1" l="1"/>
  <c r="B16" i="1"/>
  <c r="C16" i="1" s="1"/>
  <c r="A18" i="1" l="1"/>
  <c r="B17" i="1"/>
  <c r="C17" i="1" s="1"/>
  <c r="A19" i="1" l="1"/>
  <c r="B18" i="1"/>
  <c r="C18" i="1" s="1"/>
  <c r="A20" i="1" l="1"/>
  <c r="B19" i="1"/>
  <c r="C19" i="1" s="1"/>
  <c r="A21" i="1" l="1"/>
  <c r="B20" i="1"/>
  <c r="C20" i="1" s="1"/>
  <c r="A22" i="1" l="1"/>
  <c r="B21" i="1"/>
  <c r="C21" i="1" s="1"/>
  <c r="A23" i="1" l="1"/>
  <c r="B22" i="1"/>
  <c r="C22" i="1" s="1"/>
  <c r="A24" i="1" l="1"/>
  <c r="B23" i="1"/>
  <c r="C23" i="1" s="1"/>
  <c r="A25" i="1" l="1"/>
  <c r="B24" i="1"/>
  <c r="C24" i="1" s="1"/>
  <c r="A26" i="1" l="1"/>
  <c r="B25" i="1"/>
  <c r="C25" i="1" s="1"/>
  <c r="A27" i="1" l="1"/>
  <c r="B27" i="1" s="1"/>
  <c r="C27" i="1" s="1"/>
  <c r="B26" i="1"/>
  <c r="C26" i="1" s="1"/>
  <c r="A28" i="1" l="1"/>
  <c r="B28" i="1" s="1"/>
  <c r="C28" i="1" s="1"/>
  <c r="I4" i="1"/>
  <c r="E5" i="1" s="1"/>
  <c r="G5" i="1" l="1"/>
  <c r="I5" i="1"/>
  <c r="E6" i="1" s="1"/>
  <c r="G6" i="1" s="1"/>
  <c r="A29" i="1"/>
  <c r="B29" i="1" s="1"/>
  <c r="C29" i="1" s="1"/>
  <c r="F5" i="1" l="1"/>
  <c r="A30" i="1"/>
  <c r="B30" i="1" s="1"/>
  <c r="C30" i="1" s="1"/>
  <c r="F6" i="1"/>
  <c r="I6" i="1"/>
  <c r="E7" i="1" s="1"/>
  <c r="G7" i="1" s="1"/>
  <c r="A31" i="1" l="1"/>
  <c r="B31" i="1" s="1"/>
  <c r="C31" i="1" s="1"/>
  <c r="I7" i="1"/>
  <c r="E8" i="1" s="1"/>
  <c r="G8" i="1" s="1"/>
  <c r="F7" i="1" l="1"/>
  <c r="A32" i="1"/>
  <c r="B32" i="1" s="1"/>
  <c r="C32" i="1" s="1"/>
  <c r="F8" i="1"/>
  <c r="I8" i="1"/>
  <c r="E9" i="1" s="1"/>
  <c r="G9" i="1" s="1"/>
  <c r="A33" i="1" l="1"/>
  <c r="B33" i="1" s="1"/>
  <c r="C33" i="1" s="1"/>
  <c r="I9" i="1"/>
  <c r="E10" i="1" s="1"/>
  <c r="G10" i="1" l="1"/>
  <c r="F9" i="1"/>
  <c r="A34" i="1"/>
  <c r="B34" i="1" s="1"/>
  <c r="C34" i="1" s="1"/>
  <c r="I10" i="1" l="1"/>
  <c r="E11" i="1" s="1"/>
  <c r="A35" i="1"/>
  <c r="B35" i="1" s="1"/>
  <c r="C35" i="1" s="1"/>
  <c r="F10" i="1"/>
  <c r="G11" i="1" l="1"/>
  <c r="F11" i="1" s="1"/>
  <c r="I11" i="1"/>
  <c r="E12" i="1" s="1"/>
  <c r="A36" i="1"/>
  <c r="B36" i="1" s="1"/>
  <c r="C36" i="1" s="1"/>
  <c r="I12" i="1" l="1"/>
  <c r="E13" i="1" s="1"/>
  <c r="G12" i="1"/>
  <c r="A37" i="1"/>
  <c r="B37" i="1" s="1"/>
  <c r="C37" i="1" s="1"/>
  <c r="F12" i="1" l="1"/>
  <c r="G13" i="1"/>
  <c r="A38" i="1"/>
  <c r="B38" i="1" s="1"/>
  <c r="C38" i="1" s="1"/>
  <c r="I13" i="1" l="1"/>
  <c r="E14" i="1" s="1"/>
  <c r="F13" i="1"/>
  <c r="A39" i="1"/>
  <c r="B39" i="1" s="1"/>
  <c r="C39" i="1" s="1"/>
  <c r="G14" i="1" l="1"/>
  <c r="F14" i="1" s="1"/>
  <c r="I14" i="1"/>
  <c r="E15" i="1" s="1"/>
  <c r="A40" i="1"/>
  <c r="B40" i="1" s="1"/>
  <c r="C40" i="1" s="1"/>
  <c r="G15" i="1" l="1"/>
  <c r="F15" i="1" s="1"/>
  <c r="I15" i="1"/>
  <c r="E16" i="1" s="1"/>
  <c r="A41" i="1"/>
  <c r="B41" i="1" s="1"/>
  <c r="C41" i="1" s="1"/>
  <c r="G16" i="1" l="1"/>
  <c r="I16" i="1"/>
  <c r="E17" i="1" s="1"/>
  <c r="A42" i="1"/>
  <c r="B42" i="1" s="1"/>
  <c r="C42" i="1" s="1"/>
  <c r="G17" i="1" l="1"/>
  <c r="F17" i="1" s="1"/>
  <c r="I17" i="1"/>
  <c r="E18" i="1" s="1"/>
  <c r="F16" i="1"/>
  <c r="A43" i="1"/>
  <c r="B43" i="1" s="1"/>
  <c r="C43" i="1" s="1"/>
  <c r="G18" i="1" l="1"/>
  <c r="I18" i="1"/>
  <c r="E19" i="1" s="1"/>
  <c r="A44" i="1"/>
  <c r="B44" i="1" s="1"/>
  <c r="C44" i="1" s="1"/>
  <c r="G19" i="1" l="1"/>
  <c r="F19" i="1" s="1"/>
  <c r="I19" i="1"/>
  <c r="E20" i="1" s="1"/>
  <c r="F18" i="1"/>
  <c r="A45" i="1"/>
  <c r="B45" i="1" s="1"/>
  <c r="C45" i="1" s="1"/>
  <c r="G20" i="1" l="1"/>
  <c r="I20" i="1"/>
  <c r="E21" i="1" s="1"/>
  <c r="A46" i="1"/>
  <c r="B46" i="1" s="1"/>
  <c r="C46" i="1" s="1"/>
  <c r="G21" i="1" l="1"/>
  <c r="F21" i="1" s="1"/>
  <c r="I21" i="1"/>
  <c r="E22" i="1" s="1"/>
  <c r="F20" i="1"/>
  <c r="A47" i="1"/>
  <c r="B47" i="1" s="1"/>
  <c r="C47" i="1" s="1"/>
  <c r="G22" i="1" l="1"/>
  <c r="I22" i="1"/>
  <c r="E23" i="1" s="1"/>
  <c r="A48" i="1"/>
  <c r="B48" i="1" s="1"/>
  <c r="C48" i="1" s="1"/>
  <c r="G23" i="1" l="1"/>
  <c r="F23" i="1" s="1"/>
  <c r="I23" i="1"/>
  <c r="E24" i="1" s="1"/>
  <c r="F22" i="1"/>
  <c r="A49" i="1"/>
  <c r="B49" i="1" s="1"/>
  <c r="C49" i="1" s="1"/>
  <c r="G24" i="1" l="1"/>
  <c r="I24" i="1"/>
  <c r="E25" i="1" s="1"/>
  <c r="A50" i="1"/>
  <c r="B50" i="1" s="1"/>
  <c r="C50" i="1" s="1"/>
  <c r="G25" i="1" l="1"/>
  <c r="F25" i="1" s="1"/>
  <c r="I25" i="1"/>
  <c r="E26" i="1" s="1"/>
  <c r="F24" i="1"/>
  <c r="A51" i="1"/>
  <c r="B51" i="1" s="1"/>
  <c r="C51" i="1" s="1"/>
  <c r="G26" i="1" l="1"/>
  <c r="F26" i="1" s="1"/>
  <c r="I26" i="1"/>
  <c r="E27" i="1" s="1"/>
  <c r="A52" i="1"/>
  <c r="B52" i="1" s="1"/>
  <c r="C52" i="1" s="1"/>
  <c r="G27" i="1" l="1"/>
  <c r="F27" i="1" s="1"/>
  <c r="I27" i="1"/>
  <c r="E28" i="1" s="1"/>
  <c r="A53" i="1"/>
  <c r="B53" i="1" s="1"/>
  <c r="C53" i="1" s="1"/>
  <c r="G28" i="1" l="1"/>
  <c r="I28" i="1"/>
  <c r="E29" i="1" s="1"/>
  <c r="A54" i="1"/>
  <c r="B54" i="1" s="1"/>
  <c r="C54" i="1" s="1"/>
  <c r="G29" i="1" l="1"/>
  <c r="F29" i="1" s="1"/>
  <c r="I29" i="1"/>
  <c r="E30" i="1" s="1"/>
  <c r="F28" i="1"/>
  <c r="A55" i="1"/>
  <c r="B55" i="1" s="1"/>
  <c r="C55" i="1" s="1"/>
  <c r="G30" i="1" l="1"/>
  <c r="I30" i="1"/>
  <c r="E31" i="1" s="1"/>
  <c r="A56" i="1"/>
  <c r="B56" i="1" s="1"/>
  <c r="C56" i="1" s="1"/>
  <c r="G31" i="1" l="1"/>
  <c r="F31" i="1" s="1"/>
  <c r="I31" i="1"/>
  <c r="E32" i="1" s="1"/>
  <c r="F30" i="1"/>
  <c r="A57" i="1"/>
  <c r="B57" i="1" s="1"/>
  <c r="C57" i="1" s="1"/>
  <c r="G32" i="1" l="1"/>
  <c r="I32" i="1"/>
  <c r="E33" i="1" s="1"/>
  <c r="A58" i="1"/>
  <c r="B58" i="1" s="1"/>
  <c r="C58" i="1" s="1"/>
  <c r="G33" i="1" l="1"/>
  <c r="F33" i="1" s="1"/>
  <c r="I33" i="1"/>
  <c r="E34" i="1" s="1"/>
  <c r="F32" i="1"/>
  <c r="A59" i="1"/>
  <c r="B59" i="1" s="1"/>
  <c r="C59" i="1" s="1"/>
  <c r="G34" i="1" l="1"/>
  <c r="I34" i="1"/>
  <c r="E35" i="1" s="1"/>
  <c r="A60" i="1"/>
  <c r="B60" i="1" s="1"/>
  <c r="C60" i="1" s="1"/>
  <c r="G35" i="1" l="1"/>
  <c r="F35" i="1" s="1"/>
  <c r="I35" i="1"/>
  <c r="E36" i="1" s="1"/>
  <c r="F34" i="1"/>
  <c r="A61" i="1"/>
  <c r="B61" i="1" s="1"/>
  <c r="C61" i="1" s="1"/>
  <c r="G36" i="1" l="1"/>
  <c r="I36" i="1"/>
  <c r="E37" i="1" s="1"/>
  <c r="A62" i="1"/>
  <c r="B62" i="1" s="1"/>
  <c r="C62" i="1" s="1"/>
  <c r="G37" i="1" l="1"/>
  <c r="F37" i="1" s="1"/>
  <c r="I37" i="1"/>
  <c r="E38" i="1" s="1"/>
  <c r="F36" i="1"/>
  <c r="A63" i="1"/>
  <c r="G38" i="1" l="1"/>
  <c r="F38" i="1" s="1"/>
  <c r="I38" i="1"/>
  <c r="E39" i="1" s="1"/>
  <c r="B63" i="1"/>
  <c r="C63" i="1" s="1"/>
  <c r="A64" i="1"/>
  <c r="G39" i="1" l="1"/>
  <c r="F39" i="1" s="1"/>
  <c r="I39" i="1"/>
  <c r="E40" i="1" s="1"/>
  <c r="A65" i="1"/>
  <c r="B64" i="1"/>
  <c r="C64" i="1" s="1"/>
  <c r="G40" i="1" l="1"/>
  <c r="I40" i="1"/>
  <c r="E41" i="1" s="1"/>
  <c r="A66" i="1"/>
  <c r="B65" i="1"/>
  <c r="C65" i="1" s="1"/>
  <c r="F40" i="1" l="1"/>
  <c r="G41" i="1"/>
  <c r="F41" i="1" s="1"/>
  <c r="I41" i="1"/>
  <c r="E42" i="1" s="1"/>
  <c r="A67" i="1"/>
  <c r="B66" i="1"/>
  <c r="C66" i="1" s="1"/>
  <c r="G42" i="1" l="1"/>
  <c r="I42" i="1"/>
  <c r="E43" i="1" s="1"/>
  <c r="A68" i="1"/>
  <c r="B67" i="1"/>
  <c r="C67" i="1" s="1"/>
  <c r="F42" i="1" l="1"/>
  <c r="G43" i="1"/>
  <c r="F43" i="1" s="1"/>
  <c r="I43" i="1"/>
  <c r="E44" i="1" s="1"/>
  <c r="A69" i="1"/>
  <c r="B68" i="1"/>
  <c r="C68" i="1" s="1"/>
  <c r="G44" i="1" l="1"/>
  <c r="I44" i="1"/>
  <c r="E45" i="1" s="1"/>
  <c r="A70" i="1"/>
  <c r="B69" i="1"/>
  <c r="C69" i="1" s="1"/>
  <c r="F44" i="1" l="1"/>
  <c r="G45" i="1"/>
  <c r="F45" i="1" s="1"/>
  <c r="I45" i="1"/>
  <c r="E46" i="1" s="1"/>
  <c r="A71" i="1"/>
  <c r="B70" i="1"/>
  <c r="C70" i="1" s="1"/>
  <c r="G46" i="1" l="1"/>
  <c r="I46" i="1"/>
  <c r="E47" i="1" s="1"/>
  <c r="A72" i="1"/>
  <c r="B71" i="1"/>
  <c r="C71" i="1" s="1"/>
  <c r="G47" i="1" l="1"/>
  <c r="F47" i="1" s="1"/>
  <c r="I47" i="1"/>
  <c r="E48" i="1" s="1"/>
  <c r="F46" i="1"/>
  <c r="A73" i="1"/>
  <c r="B72" i="1"/>
  <c r="C72" i="1" s="1"/>
  <c r="G48" i="1" l="1"/>
  <c r="I48" i="1"/>
  <c r="E49" i="1" s="1"/>
  <c r="A74" i="1"/>
  <c r="B73" i="1"/>
  <c r="C73" i="1" s="1"/>
  <c r="G49" i="1" l="1"/>
  <c r="F49" i="1" s="1"/>
  <c r="I49" i="1"/>
  <c r="E50" i="1" s="1"/>
  <c r="F48" i="1"/>
  <c r="A75" i="1"/>
  <c r="B74" i="1"/>
  <c r="C74" i="1" s="1"/>
  <c r="G50" i="1" l="1"/>
  <c r="F50" i="1" s="1"/>
  <c r="I50" i="1"/>
  <c r="E51" i="1" s="1"/>
  <c r="A76" i="1"/>
  <c r="B75" i="1"/>
  <c r="C75" i="1" s="1"/>
  <c r="G51" i="1" l="1"/>
  <c r="F51" i="1" s="1"/>
  <c r="I51" i="1"/>
  <c r="E52" i="1" s="1"/>
  <c r="A77" i="1"/>
  <c r="B76" i="1"/>
  <c r="C76" i="1" s="1"/>
  <c r="G52" i="1" l="1"/>
  <c r="I52" i="1"/>
  <c r="E53" i="1" s="1"/>
  <c r="A78" i="1"/>
  <c r="B77" i="1"/>
  <c r="C77" i="1" s="1"/>
  <c r="G53" i="1" l="1"/>
  <c r="F53" i="1" s="1"/>
  <c r="I53" i="1"/>
  <c r="E54" i="1" s="1"/>
  <c r="F52" i="1"/>
  <c r="A79" i="1"/>
  <c r="B78" i="1"/>
  <c r="C78" i="1" s="1"/>
  <c r="G54" i="1" l="1"/>
  <c r="I54" i="1"/>
  <c r="E55" i="1" s="1"/>
  <c r="A80" i="1"/>
  <c r="B79" i="1"/>
  <c r="C79" i="1" s="1"/>
  <c r="G55" i="1" l="1"/>
  <c r="F55" i="1" s="1"/>
  <c r="I55" i="1"/>
  <c r="E56" i="1" s="1"/>
  <c r="F54" i="1"/>
  <c r="A81" i="1"/>
  <c r="B80" i="1"/>
  <c r="C80" i="1" s="1"/>
  <c r="G56" i="1" l="1"/>
  <c r="I56" i="1"/>
  <c r="E57" i="1" s="1"/>
  <c r="A82" i="1"/>
  <c r="B81" i="1"/>
  <c r="C81" i="1" s="1"/>
  <c r="F56" i="1" l="1"/>
  <c r="G57" i="1"/>
  <c r="F57" i="1" s="1"/>
  <c r="I57" i="1"/>
  <c r="E58" i="1" s="1"/>
  <c r="A83" i="1"/>
  <c r="B82" i="1"/>
  <c r="C82" i="1" s="1"/>
  <c r="G58" i="1" l="1"/>
  <c r="I58" i="1"/>
  <c r="E59" i="1" s="1"/>
  <c r="A84" i="1"/>
  <c r="B83" i="1"/>
  <c r="C83" i="1" s="1"/>
  <c r="G59" i="1" l="1"/>
  <c r="F59" i="1" s="1"/>
  <c r="I59" i="1"/>
  <c r="E60" i="1" s="1"/>
  <c r="F58" i="1"/>
  <c r="A85" i="1"/>
  <c r="B84" i="1"/>
  <c r="C84" i="1" s="1"/>
  <c r="G60" i="1" l="1"/>
  <c r="I60" i="1"/>
  <c r="E61" i="1" s="1"/>
  <c r="A86" i="1"/>
  <c r="B85" i="1"/>
  <c r="C85" i="1" s="1"/>
  <c r="G61" i="1" l="1"/>
  <c r="F61" i="1" s="1"/>
  <c r="I61" i="1"/>
  <c r="E62" i="1" s="1"/>
  <c r="F60" i="1"/>
  <c r="A87" i="1"/>
  <c r="B87" i="1" s="1"/>
  <c r="C87" i="1" s="1"/>
  <c r="J15" i="1" s="1"/>
  <c r="B86" i="1"/>
  <c r="C86" i="1" s="1"/>
  <c r="G62" i="1" l="1"/>
  <c r="F62" i="1" s="1"/>
  <c r="I62" i="1"/>
  <c r="E63" i="1" s="1"/>
  <c r="G63" i="1" l="1"/>
  <c r="F63" i="1" s="1"/>
  <c r="I63" i="1"/>
  <c r="E64" i="1" s="1"/>
  <c r="G64" i="1" l="1"/>
  <c r="I64" i="1"/>
  <c r="E65" i="1" s="1"/>
  <c r="G65" i="1" l="1"/>
  <c r="F65" i="1" s="1"/>
  <c r="I65" i="1"/>
  <c r="E66" i="1" s="1"/>
  <c r="F64" i="1"/>
  <c r="G66" i="1" l="1"/>
  <c r="I66" i="1"/>
  <c r="E67" i="1" s="1"/>
  <c r="G67" i="1" l="1"/>
  <c r="F67" i="1" s="1"/>
  <c r="I67" i="1"/>
  <c r="E68" i="1" s="1"/>
  <c r="F66" i="1"/>
  <c r="G68" i="1" l="1"/>
  <c r="I68" i="1"/>
  <c r="E69" i="1" s="1"/>
  <c r="G69" i="1" l="1"/>
  <c r="F69" i="1" s="1"/>
  <c r="I69" i="1"/>
  <c r="E70" i="1" s="1"/>
  <c r="F68" i="1"/>
  <c r="G70" i="1" l="1"/>
  <c r="I70" i="1"/>
  <c r="E71" i="1" s="1"/>
  <c r="G71" i="1" l="1"/>
  <c r="F71" i="1" s="1"/>
  <c r="I71" i="1"/>
  <c r="E72" i="1" s="1"/>
  <c r="F70" i="1"/>
  <c r="G72" i="1" l="1"/>
  <c r="I72" i="1"/>
  <c r="E73" i="1" s="1"/>
  <c r="G73" i="1" l="1"/>
  <c r="F73" i="1" s="1"/>
  <c r="I73" i="1"/>
  <c r="E74" i="1" s="1"/>
  <c r="F72" i="1"/>
  <c r="G74" i="1" l="1"/>
  <c r="F74" i="1" s="1"/>
  <c r="I74" i="1"/>
  <c r="E75" i="1" s="1"/>
  <c r="G75" i="1" l="1"/>
  <c r="F75" i="1" s="1"/>
  <c r="I75" i="1"/>
  <c r="E76" i="1" s="1"/>
  <c r="G76" i="1" l="1"/>
  <c r="I76" i="1"/>
  <c r="E77" i="1" s="1"/>
  <c r="G77" i="1" l="1"/>
  <c r="F77" i="1" s="1"/>
  <c r="I77" i="1"/>
  <c r="E78" i="1" s="1"/>
  <c r="F76" i="1"/>
  <c r="G78" i="1" l="1"/>
  <c r="I78" i="1"/>
  <c r="E79" i="1" s="1"/>
  <c r="G79" i="1" l="1"/>
  <c r="F79" i="1" s="1"/>
  <c r="I79" i="1"/>
  <c r="E80" i="1" s="1"/>
  <c r="F78" i="1"/>
  <c r="G80" i="1" l="1"/>
  <c r="I80" i="1"/>
  <c r="E81" i="1" s="1"/>
  <c r="G81" i="1" l="1"/>
  <c r="F81" i="1" s="1"/>
  <c r="I81" i="1"/>
  <c r="E82" i="1" s="1"/>
  <c r="F80" i="1"/>
  <c r="G82" i="1" l="1"/>
  <c r="I82" i="1"/>
  <c r="E83" i="1" s="1"/>
  <c r="G83" i="1" l="1"/>
  <c r="F83" i="1" s="1"/>
  <c r="I83" i="1"/>
  <c r="E84" i="1" s="1"/>
  <c r="F82" i="1"/>
  <c r="G84" i="1" l="1"/>
  <c r="I84" i="1"/>
  <c r="E85" i="1" s="1"/>
  <c r="G85" i="1" l="1"/>
  <c r="F85" i="1" s="1"/>
  <c r="I85" i="1"/>
  <c r="E86" i="1" s="1"/>
  <c r="F84" i="1"/>
  <c r="G86" i="1" l="1"/>
  <c r="I86" i="1"/>
  <c r="E87" i="1" s="1"/>
  <c r="G87" i="1" l="1"/>
  <c r="F86" i="1"/>
  <c r="G88" i="1"/>
  <c r="I87" i="1" l="1"/>
  <c r="K30" i="1"/>
  <c r="H88" i="1"/>
  <c r="F87" i="1"/>
  <c r="F88" i="1" s="1"/>
  <c r="K14" i="1" l="1"/>
</calcChain>
</file>

<file path=xl/sharedStrings.xml><?xml version="1.0" encoding="utf-8"?>
<sst xmlns="http://schemas.openxmlformats.org/spreadsheetml/2006/main" count="11" uniqueCount="11">
  <si>
    <t>Musterdarlehensberechnung</t>
  </si>
  <si>
    <t>Monat</t>
  </si>
  <si>
    <t>Darlehensstand Vormonat</t>
  </si>
  <si>
    <t>Gesamtrate</t>
  </si>
  <si>
    <t>davon                                Zinsen</t>
  </si>
  <si>
    <t>davon Tilgung</t>
  </si>
  <si>
    <t>Darlehensstand Monatsende</t>
  </si>
  <si>
    <t>Darlehensbetrag</t>
  </si>
  <si>
    <t>Zinsen Tilgungsfreimonate</t>
  </si>
  <si>
    <t>ausschließlich hellrote Felder befüllbar</t>
  </si>
  <si>
    <t>Summen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</si>
</sst>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.00\ [$€-407]_-;\-* #,##0.00\ [$€-407]_-;_-* &quot;-&quot;??\ [$€-407]_-;_-@_-"/>
    <numFmt numFmtId="166" formatCode="#,##0.00_ ;\-#,##0.00\ "/>
  </numFmts>
  <fonts count="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8"/>
      <name val="Arial"/>
      <family val="2"/>
    </font>
    <font>
      <sz val="11"/>
      <name val="Arial"/>
      <family val="2"/>
      <scheme val="minor"/>
    </font>
    <font>
      <sz val="10"/>
      <name val="Arial"/>
      <family val="2"/>
    </font>
    <font>
      <b/>
      <i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166" fontId="0" fillId="0" borderId="0" xfId="0" applyNumberFormat="1"/>
    <xf numFmtId="0" fontId="5" fillId="4" borderId="9" xfId="0" applyFont="1" applyFill="1" applyBorder="1"/>
    <xf numFmtId="0" fontId="5" fillId="4" borderId="10" xfId="0" applyFont="1" applyFill="1" applyBorder="1"/>
    <xf numFmtId="165" fontId="2" fillId="6" borderId="7" xfId="0" applyNumberFormat="1" applyFont="1" applyFill="1" applyBorder="1" applyAlignment="1">
      <alignment horizontal="center" vertical="center" wrapText="1"/>
    </xf>
    <xf numFmtId="165" fontId="2" fillId="4" borderId="37" xfId="0" applyNumberFormat="1" applyFont="1" applyFill="1" applyBorder="1" applyAlignment="1">
      <alignment horizontal="right" vertical="center"/>
    </xf>
    <xf numFmtId="165" fontId="2" fillId="6" borderId="8" xfId="0" applyNumberFormat="1" applyFont="1" applyFill="1" applyBorder="1" applyAlignment="1">
      <alignment horizontal="right" vertical="center"/>
    </xf>
    <xf numFmtId="165" fontId="6" fillId="4" borderId="8" xfId="0" applyNumberFormat="1" applyFont="1" applyFill="1" applyBorder="1" applyAlignment="1">
      <alignment horizontal="right" vertical="center"/>
    </xf>
    <xf numFmtId="165" fontId="2" fillId="6" borderId="38" xfId="0" applyNumberFormat="1" applyFont="1" applyFill="1" applyBorder="1" applyAlignment="1">
      <alignment horizontal="right" vertical="center"/>
    </xf>
    <xf numFmtId="165" fontId="5" fillId="4" borderId="10" xfId="0" applyNumberFormat="1" applyFont="1" applyFill="1" applyBorder="1"/>
    <xf numFmtId="0" fontId="2" fillId="5" borderId="21" xfId="0" applyFont="1" applyFill="1" applyBorder="1" applyAlignment="1" applyProtection="1">
      <alignment horizontal="center" vertical="center"/>
    </xf>
    <xf numFmtId="0" fontId="2" fillId="2" borderId="22" xfId="0" applyFont="1" applyFill="1" applyBorder="1" applyAlignment="1" applyProtection="1">
      <alignment horizontal="center" vertical="center"/>
    </xf>
    <xf numFmtId="166" fontId="2" fillId="5" borderId="22" xfId="0" applyNumberFormat="1" applyFont="1" applyFill="1" applyBorder="1" applyAlignment="1" applyProtection="1">
      <alignment horizontal="right" vertical="center"/>
    </xf>
    <xf numFmtId="166" fontId="2" fillId="4" borderId="25" xfId="0" applyNumberFormat="1" applyFont="1" applyFill="1" applyBorder="1" applyAlignment="1" applyProtection="1">
      <alignment horizontal="right" vertical="center"/>
    </xf>
    <xf numFmtId="0" fontId="5" fillId="4" borderId="11" xfId="0" applyFont="1" applyFill="1" applyBorder="1"/>
    <xf numFmtId="1" fontId="6" fillId="7" borderId="35" xfId="0" applyNumberFormat="1" applyFont="1" applyFill="1" applyBorder="1" applyAlignment="1" applyProtection="1">
      <alignment horizontal="center" vertical="center"/>
    </xf>
    <xf numFmtId="166" fontId="6" fillId="7" borderId="31" xfId="0" applyNumberFormat="1" applyFont="1" applyFill="1" applyBorder="1" applyAlignment="1" applyProtection="1">
      <alignment horizontal="right" vertical="center"/>
    </xf>
    <xf numFmtId="166" fontId="6" fillId="7" borderId="36" xfId="0" applyNumberFormat="1" applyFont="1" applyFill="1" applyBorder="1" applyAlignment="1" applyProtection="1">
      <alignment horizontal="right" vertical="center"/>
    </xf>
    <xf numFmtId="14" fontId="6" fillId="7" borderId="30" xfId="0" applyNumberFormat="1" applyFont="1" applyFill="1" applyBorder="1" applyAlignment="1" applyProtection="1">
      <alignment horizontal="center" vertical="center"/>
    </xf>
    <xf numFmtId="1" fontId="6" fillId="7" borderId="31" xfId="0" applyNumberFormat="1" applyFont="1" applyFill="1" applyBorder="1" applyAlignment="1" applyProtection="1">
      <alignment horizontal="center" vertical="center"/>
    </xf>
    <xf numFmtId="1" fontId="6" fillId="7" borderId="1" xfId="0" applyNumberFormat="1" applyFont="1" applyFill="1" applyBorder="1" applyAlignment="1" applyProtection="1">
      <alignment horizontal="center" vertical="center"/>
    </xf>
    <xf numFmtId="166" fontId="6" fillId="7" borderId="1" xfId="0" applyNumberFormat="1" applyFont="1" applyFill="1" applyBorder="1" applyAlignment="1" applyProtection="1">
      <alignment horizontal="right" vertical="center"/>
    </xf>
    <xf numFmtId="166" fontId="6" fillId="7" borderId="18" xfId="0" applyNumberFormat="1" applyFont="1" applyFill="1" applyBorder="1" applyAlignment="1" applyProtection="1">
      <alignment horizontal="right" vertical="center"/>
    </xf>
    <xf numFmtId="14" fontId="6" fillId="7" borderId="3" xfId="0" applyNumberFormat="1" applyFont="1" applyFill="1" applyBorder="1" applyAlignment="1" applyProtection="1">
      <alignment horizontal="center" vertical="center"/>
    </xf>
    <xf numFmtId="14" fontId="6" fillId="7" borderId="4" xfId="0" applyNumberFormat="1" applyFont="1" applyFill="1" applyBorder="1" applyAlignment="1" applyProtection="1">
      <alignment horizontal="center" vertical="center"/>
    </xf>
    <xf numFmtId="1" fontId="6" fillId="7" borderId="5" xfId="0" applyNumberFormat="1" applyFont="1" applyFill="1" applyBorder="1" applyAlignment="1" applyProtection="1">
      <alignment horizontal="center" vertical="center"/>
    </xf>
    <xf numFmtId="166" fontId="6" fillId="7" borderId="5" xfId="0" applyNumberFormat="1" applyFont="1" applyFill="1" applyBorder="1" applyAlignment="1" applyProtection="1">
      <alignment horizontal="right" vertical="center"/>
    </xf>
    <xf numFmtId="166" fontId="6" fillId="7" borderId="19" xfId="0" applyNumberFormat="1" applyFont="1" applyFill="1" applyBorder="1" applyAlignment="1" applyProtection="1">
      <alignment horizontal="right" vertical="center"/>
    </xf>
    <xf numFmtId="0" fontId="2" fillId="5" borderId="14" xfId="0" applyFont="1" applyFill="1" applyBorder="1" applyAlignment="1" applyProtection="1">
      <alignment horizontal="center" vertical="center"/>
    </xf>
    <xf numFmtId="0" fontId="2" fillId="5" borderId="15" xfId="0" applyFont="1" applyFill="1" applyBorder="1" applyAlignment="1" applyProtection="1">
      <alignment horizontal="center" vertical="center"/>
    </xf>
    <xf numFmtId="0" fontId="2" fillId="5" borderId="33" xfId="0" applyFont="1" applyFill="1" applyBorder="1" applyAlignment="1" applyProtection="1">
      <alignment horizontal="center" vertical="center"/>
    </xf>
    <xf numFmtId="0" fontId="2" fillId="5" borderId="26" xfId="0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 applyProtection="1">
      <alignment horizontal="center" vertical="center"/>
    </xf>
    <xf numFmtId="0" fontId="2" fillId="5" borderId="34" xfId="0" applyFont="1" applyFill="1" applyBorder="1" applyAlignment="1" applyProtection="1">
      <alignment horizontal="center" vertical="center"/>
    </xf>
    <xf numFmtId="0" fontId="2" fillId="5" borderId="16" xfId="0" applyFont="1" applyFill="1" applyBorder="1" applyAlignment="1" applyProtection="1">
      <alignment horizontal="center" vertical="center" wrapText="1"/>
    </xf>
    <xf numFmtId="0" fontId="2" fillId="5" borderId="32" xfId="0" applyFont="1" applyFill="1" applyBorder="1" applyAlignment="1" applyProtection="1">
      <alignment horizontal="center" vertical="center" wrapText="1"/>
    </xf>
    <xf numFmtId="0" fontId="2" fillId="5" borderId="20" xfId="0" applyFont="1" applyFill="1" applyBorder="1" applyAlignment="1" applyProtection="1">
      <alignment horizontal="center" vertical="center" wrapText="1"/>
    </xf>
    <xf numFmtId="0" fontId="2" fillId="5" borderId="29" xfId="0" applyFont="1" applyFill="1" applyBorder="1" applyAlignment="1" applyProtection="1">
      <alignment horizontal="center" vertical="center" wrapText="1"/>
    </xf>
    <xf numFmtId="0" fontId="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 applyProtection="1">
      <alignment horizontal="center" vertical="center"/>
    </xf>
    <xf numFmtId="0" fontId="2" fillId="5" borderId="5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center" vertical="center"/>
    </xf>
    <xf numFmtId="0" fontId="2" fillId="4" borderId="11" xfId="0" applyFont="1" applyFill="1" applyBorder="1" applyAlignment="1" applyProtection="1">
      <alignment horizontal="center" vertical="center"/>
    </xf>
    <xf numFmtId="14" fontId="2" fillId="3" borderId="21" xfId="0" applyNumberFormat="1" applyFont="1" applyFill="1" applyBorder="1" applyAlignment="1" applyProtection="1">
      <alignment horizontal="center" vertical="center"/>
      <protection locked="0"/>
    </xf>
    <xf numFmtId="14" fontId="2" fillId="3" borderId="22" xfId="0" applyNumberFormat="1" applyFont="1" applyFill="1" applyBorder="1" applyAlignment="1" applyProtection="1">
      <alignment horizontal="center" vertical="center"/>
      <protection locked="0"/>
    </xf>
    <xf numFmtId="14" fontId="2" fillId="3" borderId="25" xfId="0" applyNumberFormat="1" applyFont="1" applyFill="1" applyBorder="1" applyAlignment="1" applyProtection="1">
      <alignment horizontal="center" vertical="center"/>
      <protection locked="0"/>
    </xf>
    <xf numFmtId="0" fontId="2" fillId="5" borderId="17" xfId="0" applyFont="1" applyFill="1" applyBorder="1" applyAlignment="1" applyProtection="1">
      <alignment horizontal="center" vertical="center" wrapText="1"/>
    </xf>
    <xf numFmtId="0" fontId="2" fillId="5" borderId="28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/>
    </xf>
    <xf numFmtId="0" fontId="2" fillId="4" borderId="24" xfId="0" applyFont="1" applyFill="1" applyBorder="1" applyAlignment="1" applyProtection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5" fontId="2" fillId="3" borderId="9" xfId="1" applyNumberFormat="1" applyFont="1" applyFill="1" applyBorder="1" applyAlignment="1" applyProtection="1">
      <alignment horizontal="center" vertical="center"/>
      <protection locked="0"/>
    </xf>
    <xf numFmtId="165" fontId="2" fillId="3" borderId="11" xfId="1" applyNumberFormat="1" applyFont="1" applyFill="1" applyBorder="1" applyAlignment="1" applyProtection="1">
      <alignment horizontal="center" vertical="center"/>
      <protection locked="0"/>
    </xf>
    <xf numFmtId="165" fontId="7" fillId="3" borderId="9" xfId="0" applyNumberFormat="1" applyFont="1" applyFill="1" applyBorder="1" applyAlignment="1">
      <alignment horizontal="center" vertical="center" wrapText="1"/>
    </xf>
    <xf numFmtId="165" fontId="7" fillId="3" borderId="10" xfId="0" applyNumberFormat="1" applyFont="1" applyFill="1" applyBorder="1" applyAlignment="1">
      <alignment horizontal="center" vertical="center" wrapText="1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IBankPräsentation">
  <a:themeElements>
    <a:clrScheme name="WIBank">
      <a:dk1>
        <a:srgbClr val="005E8B"/>
      </a:dk1>
      <a:lt1>
        <a:sysClr val="window" lastClr="FFFFFF"/>
      </a:lt1>
      <a:dk2>
        <a:srgbClr val="000000"/>
      </a:dk2>
      <a:lt2>
        <a:srgbClr val="A1BAD3"/>
      </a:lt2>
      <a:accent1>
        <a:srgbClr val="00548B"/>
      </a:accent1>
      <a:accent2>
        <a:srgbClr val="A1BAD3"/>
      </a:accent2>
      <a:accent3>
        <a:srgbClr val="DBE6F0"/>
      </a:accent3>
      <a:accent4>
        <a:srgbClr val="BACE42"/>
      </a:accent4>
      <a:accent5>
        <a:srgbClr val="DD1740"/>
      </a:accent5>
      <a:accent6>
        <a:srgbClr val="58585A"/>
      </a:accent6>
      <a:hlink>
        <a:srgbClr val="DBE6F0"/>
      </a:hlink>
      <a:folHlink>
        <a:srgbClr val="A1BAD3"/>
      </a:folHlink>
    </a:clrScheme>
    <a:fontScheme name="WIBank-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8"/>
  <sheetViews>
    <sheetView tabSelected="1" zoomScale="130" zoomScaleNormal="130" workbookViewId="0">
      <selection activeCell="M16" sqref="M16"/>
    </sheetView>
  </sheetViews>
  <sheetFormatPr baseColWidth="10" defaultColWidth="11.42578125" defaultRowHeight="12.75" x14ac:dyDescent="0.2"/>
  <cols>
    <col min="1" max="1" width="11" customWidth="1"/>
    <col min="2" max="2" width="6.42578125" hidden="1" customWidth="1"/>
    <col min="3" max="3" width="5.5703125" hidden="1" customWidth="1"/>
    <col min="4" max="4" width="6.7109375" customWidth="1"/>
    <col min="5" max="5" width="16.140625" customWidth="1"/>
    <col min="6" max="6" width="15.5703125" customWidth="1"/>
    <col min="7" max="7" width="18.5703125" customWidth="1"/>
    <col min="8" max="8" width="14.7109375" customWidth="1"/>
    <col min="9" max="9" width="16.42578125" customWidth="1"/>
    <col min="10" max="10" width="25.28515625" customWidth="1"/>
    <col min="11" max="11" width="14.140625" hidden="1" customWidth="1"/>
    <col min="12" max="12" width="14.140625" customWidth="1"/>
  </cols>
  <sheetData>
    <row r="1" spans="1:13" ht="47.45" customHeight="1" thickBot="1" x14ac:dyDescent="0.25">
      <c r="A1" s="38" t="s">
        <v>0</v>
      </c>
      <c r="B1" s="39"/>
      <c r="C1" s="39"/>
      <c r="D1" s="39"/>
      <c r="E1" s="39"/>
      <c r="F1" s="39"/>
      <c r="G1" s="39"/>
      <c r="H1" s="39"/>
      <c r="I1" s="39"/>
      <c r="J1" s="40"/>
    </row>
    <row r="2" spans="1:13" ht="12.75" customHeight="1" x14ac:dyDescent="0.2">
      <c r="A2" s="28" t="s">
        <v>1</v>
      </c>
      <c r="B2" s="29"/>
      <c r="C2" s="29"/>
      <c r="D2" s="30"/>
      <c r="E2" s="34" t="s">
        <v>2</v>
      </c>
      <c r="F2" s="43" t="s">
        <v>3</v>
      </c>
      <c r="G2" s="50" t="s">
        <v>4</v>
      </c>
      <c r="H2" s="50" t="s">
        <v>5</v>
      </c>
      <c r="I2" s="36" t="s">
        <v>6</v>
      </c>
      <c r="J2" s="2"/>
    </row>
    <row r="3" spans="1:13" ht="15" thickBot="1" x14ac:dyDescent="0.25">
      <c r="A3" s="31"/>
      <c r="B3" s="32"/>
      <c r="C3" s="32"/>
      <c r="D3" s="33"/>
      <c r="E3" s="35"/>
      <c r="F3" s="44"/>
      <c r="G3" s="51"/>
      <c r="H3" s="51"/>
      <c r="I3" s="37"/>
      <c r="J3" s="3"/>
    </row>
    <row r="4" spans="1:13" ht="17.25" customHeight="1" thickBot="1" x14ac:dyDescent="0.25">
      <c r="A4" s="47">
        <v>46023</v>
      </c>
      <c r="B4" s="48"/>
      <c r="C4" s="49"/>
      <c r="D4" s="15">
        <v>1</v>
      </c>
      <c r="E4" s="16">
        <f>J6</f>
        <v>35000</v>
      </c>
      <c r="F4" s="16">
        <f>G4+H4</f>
        <v>167.70833333333334</v>
      </c>
      <c r="G4" s="16">
        <f>E4*5.75%/12</f>
        <v>167.70833333333334</v>
      </c>
      <c r="H4" s="16">
        <v>0</v>
      </c>
      <c r="I4" s="17">
        <f>E4-H4</f>
        <v>35000</v>
      </c>
      <c r="J4" s="45" t="s">
        <v>7</v>
      </c>
    </row>
    <row r="5" spans="1:13" ht="13.5" thickBot="1" x14ac:dyDescent="0.25">
      <c r="A5" s="18">
        <f>EDATE(A4,1)</f>
        <v>46054</v>
      </c>
      <c r="B5" s="19">
        <f>A5</f>
        <v>46054</v>
      </c>
      <c r="C5" s="19">
        <f>YEAR(B5)</f>
        <v>2026</v>
      </c>
      <c r="D5" s="20">
        <v>2</v>
      </c>
      <c r="E5" s="21">
        <f>I4</f>
        <v>35000</v>
      </c>
      <c r="F5" s="21">
        <f t="shared" ref="F5:F9" si="0">G5+H5</f>
        <v>167.70833333333334</v>
      </c>
      <c r="G5" s="21">
        <f>E5*5.75%/12</f>
        <v>167.70833333333334</v>
      </c>
      <c r="H5" s="21">
        <v>0</v>
      </c>
      <c r="I5" s="22">
        <f>E5-H5</f>
        <v>35000</v>
      </c>
      <c r="J5" s="46"/>
    </row>
    <row r="6" spans="1:13" x14ac:dyDescent="0.2">
      <c r="A6" s="23">
        <f t="shared" ref="A6:A69" si="1">EDATE(A5,1)</f>
        <v>46082</v>
      </c>
      <c r="B6" s="20">
        <f t="shared" ref="B6:B63" si="2">A6</f>
        <v>46082</v>
      </c>
      <c r="C6" s="20">
        <f t="shared" ref="C6:C63" si="3">YEAR(B6)</f>
        <v>2026</v>
      </c>
      <c r="D6" s="20">
        <v>3</v>
      </c>
      <c r="E6" s="21">
        <f t="shared" ref="E6:E10" si="4">I5</f>
        <v>35000</v>
      </c>
      <c r="F6" s="21">
        <f t="shared" si="0"/>
        <v>167.70833333333334</v>
      </c>
      <c r="G6" s="21">
        <f t="shared" ref="G6:G69" si="5">E6*5.75%/12</f>
        <v>167.70833333333334</v>
      </c>
      <c r="H6" s="21">
        <v>0</v>
      </c>
      <c r="I6" s="22">
        <f t="shared" ref="I6:I61" si="6">E6-H6</f>
        <v>35000</v>
      </c>
      <c r="J6" s="56">
        <v>35000</v>
      </c>
    </row>
    <row r="7" spans="1:13" ht="13.5" thickBot="1" x14ac:dyDescent="0.25">
      <c r="A7" s="23">
        <f t="shared" si="1"/>
        <v>46113</v>
      </c>
      <c r="B7" s="20">
        <f t="shared" si="2"/>
        <v>46113</v>
      </c>
      <c r="C7" s="20">
        <f t="shared" si="3"/>
        <v>2026</v>
      </c>
      <c r="D7" s="20">
        <v>4</v>
      </c>
      <c r="E7" s="21">
        <f t="shared" si="4"/>
        <v>35000</v>
      </c>
      <c r="F7" s="21">
        <f t="shared" si="0"/>
        <v>167.70833333333334</v>
      </c>
      <c r="G7" s="21">
        <f t="shared" si="5"/>
        <v>167.70833333333334</v>
      </c>
      <c r="H7" s="21">
        <v>0</v>
      </c>
      <c r="I7" s="22">
        <f t="shared" si="6"/>
        <v>35000</v>
      </c>
      <c r="J7" s="57"/>
    </row>
    <row r="8" spans="1:13" x14ac:dyDescent="0.2">
      <c r="A8" s="23">
        <f t="shared" si="1"/>
        <v>46143</v>
      </c>
      <c r="B8" s="20">
        <f t="shared" si="2"/>
        <v>46143</v>
      </c>
      <c r="C8" s="20">
        <f t="shared" si="3"/>
        <v>2026</v>
      </c>
      <c r="D8" s="20">
        <v>5</v>
      </c>
      <c r="E8" s="21">
        <f t="shared" si="4"/>
        <v>35000</v>
      </c>
      <c r="F8" s="21">
        <f t="shared" si="0"/>
        <v>167.70833333333334</v>
      </c>
      <c r="G8" s="21">
        <f t="shared" si="5"/>
        <v>167.70833333333334</v>
      </c>
      <c r="H8" s="21">
        <v>0</v>
      </c>
      <c r="I8" s="22">
        <f t="shared" si="6"/>
        <v>35000</v>
      </c>
      <c r="J8" s="41" t="s">
        <v>8</v>
      </c>
    </row>
    <row r="9" spans="1:13" ht="13.5" thickBot="1" x14ac:dyDescent="0.25">
      <c r="A9" s="23">
        <f t="shared" si="1"/>
        <v>46174</v>
      </c>
      <c r="B9" s="20">
        <f t="shared" si="2"/>
        <v>46174</v>
      </c>
      <c r="C9" s="20">
        <f t="shared" si="3"/>
        <v>2026</v>
      </c>
      <c r="D9" s="20">
        <v>6</v>
      </c>
      <c r="E9" s="21">
        <f t="shared" si="4"/>
        <v>35000</v>
      </c>
      <c r="F9" s="21">
        <f t="shared" si="0"/>
        <v>167.70833333333334</v>
      </c>
      <c r="G9" s="21">
        <f t="shared" si="5"/>
        <v>167.70833333333334</v>
      </c>
      <c r="H9" s="21">
        <v>0</v>
      </c>
      <c r="I9" s="22">
        <f t="shared" si="6"/>
        <v>35000</v>
      </c>
      <c r="J9" s="42"/>
    </row>
    <row r="10" spans="1:13" ht="13.5" thickBot="1" x14ac:dyDescent="0.25">
      <c r="A10" s="23">
        <f t="shared" si="1"/>
        <v>46204</v>
      </c>
      <c r="B10" s="20">
        <f t="shared" si="2"/>
        <v>46204</v>
      </c>
      <c r="C10" s="20">
        <f t="shared" si="3"/>
        <v>2026</v>
      </c>
      <c r="D10" s="20">
        <v>7</v>
      </c>
      <c r="E10" s="21">
        <f t="shared" si="4"/>
        <v>35000</v>
      </c>
      <c r="F10" s="21">
        <f>G10+H10</f>
        <v>167.70833333333334</v>
      </c>
      <c r="G10" s="21">
        <f t="shared" si="5"/>
        <v>167.70833333333334</v>
      </c>
      <c r="H10" s="21">
        <v>0</v>
      </c>
      <c r="I10" s="22">
        <f>E10-H10</f>
        <v>35000</v>
      </c>
      <c r="J10" s="4">
        <f>SUMIF(H:H,0,G:G)</f>
        <v>2012.4999999999998</v>
      </c>
    </row>
    <row r="11" spans="1:13" ht="12.75" customHeight="1" x14ac:dyDescent="0.2">
      <c r="A11" s="23">
        <f t="shared" si="1"/>
        <v>46235</v>
      </c>
      <c r="B11" s="20">
        <f t="shared" si="2"/>
        <v>46235</v>
      </c>
      <c r="C11" s="20">
        <f t="shared" si="3"/>
        <v>2026</v>
      </c>
      <c r="D11" s="20">
        <v>8</v>
      </c>
      <c r="E11" s="21">
        <f>I10</f>
        <v>35000</v>
      </c>
      <c r="F11" s="21">
        <f t="shared" ref="F11:F74" si="7">G11+H11</f>
        <v>167.70833333333334</v>
      </c>
      <c r="G11" s="21">
        <f t="shared" si="5"/>
        <v>167.70833333333334</v>
      </c>
      <c r="H11" s="21">
        <v>0</v>
      </c>
      <c r="I11" s="22">
        <f>E11-H11</f>
        <v>35000</v>
      </c>
      <c r="J11" s="58" t="s">
        <v>9</v>
      </c>
    </row>
    <row r="12" spans="1:13" ht="12.75" customHeight="1" x14ac:dyDescent="0.2">
      <c r="A12" s="23">
        <f t="shared" si="1"/>
        <v>46266</v>
      </c>
      <c r="B12" s="20">
        <f t="shared" si="2"/>
        <v>46266</v>
      </c>
      <c r="C12" s="20">
        <f t="shared" si="3"/>
        <v>2026</v>
      </c>
      <c r="D12" s="20">
        <v>9</v>
      </c>
      <c r="E12" s="21">
        <f t="shared" ref="E12:E15" si="8">I11</f>
        <v>35000</v>
      </c>
      <c r="F12" s="21">
        <f t="shared" si="7"/>
        <v>167.70833333333334</v>
      </c>
      <c r="G12" s="21">
        <f t="shared" si="5"/>
        <v>167.70833333333334</v>
      </c>
      <c r="H12" s="21">
        <v>0</v>
      </c>
      <c r="I12" s="22">
        <f>E12-H12</f>
        <v>35000</v>
      </c>
      <c r="J12" s="59"/>
    </row>
    <row r="13" spans="1:13" ht="12.75" customHeight="1" thickBot="1" x14ac:dyDescent="0.25">
      <c r="A13" s="23">
        <f t="shared" si="1"/>
        <v>46296</v>
      </c>
      <c r="B13" s="20">
        <f t="shared" si="2"/>
        <v>46296</v>
      </c>
      <c r="C13" s="20">
        <f t="shared" si="3"/>
        <v>2026</v>
      </c>
      <c r="D13" s="20">
        <v>10</v>
      </c>
      <c r="E13" s="21">
        <f t="shared" si="8"/>
        <v>35000</v>
      </c>
      <c r="F13" s="21">
        <f t="shared" si="7"/>
        <v>167.70833333333334</v>
      </c>
      <c r="G13" s="21">
        <f t="shared" si="5"/>
        <v>167.70833333333334</v>
      </c>
      <c r="H13" s="21">
        <v>0</v>
      </c>
      <c r="I13" s="22">
        <f t="shared" si="6"/>
        <v>35000</v>
      </c>
      <c r="J13" s="59"/>
    </row>
    <row r="14" spans="1:13" x14ac:dyDescent="0.2">
      <c r="A14" s="23">
        <f t="shared" si="1"/>
        <v>46327</v>
      </c>
      <c r="B14" s="20">
        <f t="shared" si="2"/>
        <v>46327</v>
      </c>
      <c r="C14" s="20">
        <f t="shared" si="3"/>
        <v>2026</v>
      </c>
      <c r="D14" s="20">
        <v>11</v>
      </c>
      <c r="E14" s="21">
        <f t="shared" si="8"/>
        <v>35000</v>
      </c>
      <c r="F14" s="21">
        <f t="shared" si="7"/>
        <v>167.70833333333334</v>
      </c>
      <c r="G14" s="21">
        <f>E14*5.75%/12</f>
        <v>167.70833333333334</v>
      </c>
      <c r="H14" s="21">
        <v>0</v>
      </c>
      <c r="I14" s="22">
        <f t="shared" si="6"/>
        <v>35000</v>
      </c>
      <c r="J14" s="5" t="str">
        <f>"Summe Zinsen Jahr "&amp;TEXT(start,"JJJJ")</f>
        <v>Summe Zinsen Jahr 2026</v>
      </c>
      <c r="K14" s="54">
        <f>J15+J17+J19+J21+J23+J25+J27+J29</f>
        <v>8133.8677749999933</v>
      </c>
    </row>
    <row r="15" spans="1:13" x14ac:dyDescent="0.2">
      <c r="A15" s="23">
        <f t="shared" si="1"/>
        <v>46357</v>
      </c>
      <c r="B15" s="20">
        <f t="shared" si="2"/>
        <v>46357</v>
      </c>
      <c r="C15" s="20">
        <f t="shared" si="3"/>
        <v>2026</v>
      </c>
      <c r="D15" s="20">
        <v>12</v>
      </c>
      <c r="E15" s="21">
        <f t="shared" si="8"/>
        <v>35000</v>
      </c>
      <c r="F15" s="21">
        <f t="shared" si="7"/>
        <v>167.70833333333334</v>
      </c>
      <c r="G15" s="21">
        <f t="shared" si="5"/>
        <v>167.70833333333334</v>
      </c>
      <c r="H15" s="21">
        <v>0</v>
      </c>
      <c r="I15" s="22">
        <f t="shared" si="6"/>
        <v>35000</v>
      </c>
      <c r="J15" s="6">
        <f>SUMIF(C5:C87,"2026",G5:G87)+G4</f>
        <v>2012.4999999999998</v>
      </c>
      <c r="K15" s="55"/>
      <c r="M15" s="1"/>
    </row>
    <row r="16" spans="1:13" x14ac:dyDescent="0.2">
      <c r="A16" s="23">
        <f t="shared" si="1"/>
        <v>46388</v>
      </c>
      <c r="B16" s="20">
        <f t="shared" si="2"/>
        <v>46388</v>
      </c>
      <c r="C16" s="20">
        <f t="shared" si="3"/>
        <v>2027</v>
      </c>
      <c r="D16" s="20">
        <v>13</v>
      </c>
      <c r="E16" s="21">
        <f>I15</f>
        <v>35000</v>
      </c>
      <c r="F16" s="21">
        <f t="shared" si="7"/>
        <v>653.81833333333338</v>
      </c>
      <c r="G16" s="21">
        <f t="shared" si="5"/>
        <v>167.70833333333334</v>
      </c>
      <c r="H16" s="21">
        <f>ROUND($E$13*16.6666666666667%/12,2)</f>
        <v>486.11</v>
      </c>
      <c r="I16" s="22">
        <f>E16-H16</f>
        <v>34513.89</v>
      </c>
      <c r="J16" s="7" t="str">
        <f>"Summe Zinsen Jahr "&amp;TEXT(start,"JJJJ")+1</f>
        <v>Summe Zinsen Jahr 2027</v>
      </c>
      <c r="K16" s="55"/>
    </row>
    <row r="17" spans="1:13" x14ac:dyDescent="0.2">
      <c r="A17" s="23">
        <f t="shared" si="1"/>
        <v>46419</v>
      </c>
      <c r="B17" s="20">
        <f t="shared" si="2"/>
        <v>46419</v>
      </c>
      <c r="C17" s="20">
        <f t="shared" si="3"/>
        <v>2027</v>
      </c>
      <c r="D17" s="20">
        <v>14</v>
      </c>
      <c r="E17" s="21">
        <f>I16</f>
        <v>34513.89</v>
      </c>
      <c r="F17" s="21">
        <f t="shared" si="7"/>
        <v>651.48905624999998</v>
      </c>
      <c r="G17" s="21">
        <f t="shared" si="5"/>
        <v>165.37905624999999</v>
      </c>
      <c r="H17" s="21">
        <f t="shared" ref="H17:H80" si="9">ROUND($E$13*16.6666666666667%/12,2)</f>
        <v>486.11</v>
      </c>
      <c r="I17" s="22">
        <f>E17-H17</f>
        <v>34027.78</v>
      </c>
      <c r="J17" s="6">
        <f>SUMIF(C5:C87,2027,G5:G87)</f>
        <v>1858.7677125</v>
      </c>
      <c r="K17" s="55"/>
      <c r="L17" s="1"/>
    </row>
    <row r="18" spans="1:13" x14ac:dyDescent="0.2">
      <c r="A18" s="23">
        <f t="shared" si="1"/>
        <v>46447</v>
      </c>
      <c r="B18" s="20">
        <f t="shared" si="2"/>
        <v>46447</v>
      </c>
      <c r="C18" s="20">
        <f t="shared" si="3"/>
        <v>2027</v>
      </c>
      <c r="D18" s="20">
        <v>15</v>
      </c>
      <c r="E18" s="21">
        <f t="shared" ref="E18:E27" si="10">I17</f>
        <v>34027.78</v>
      </c>
      <c r="F18" s="21">
        <f t="shared" si="7"/>
        <v>649.15977916666668</v>
      </c>
      <c r="G18" s="21">
        <f t="shared" si="5"/>
        <v>163.04977916666667</v>
      </c>
      <c r="H18" s="21">
        <f t="shared" si="9"/>
        <v>486.11</v>
      </c>
      <c r="I18" s="22">
        <f t="shared" si="6"/>
        <v>33541.67</v>
      </c>
      <c r="J18" s="7" t="str">
        <f>"Summe Zinsen Jahr "&amp;TEXT(start,"JJJJ")+2</f>
        <v>Summe Zinsen Jahr 2028</v>
      </c>
      <c r="K18" s="55"/>
    </row>
    <row r="19" spans="1:13" x14ac:dyDescent="0.2">
      <c r="A19" s="23">
        <f t="shared" si="1"/>
        <v>46478</v>
      </c>
      <c r="B19" s="20">
        <f t="shared" si="2"/>
        <v>46478</v>
      </c>
      <c r="C19" s="20">
        <f t="shared" si="3"/>
        <v>2027</v>
      </c>
      <c r="D19" s="20">
        <v>16</v>
      </c>
      <c r="E19" s="21">
        <f t="shared" si="10"/>
        <v>33541.67</v>
      </c>
      <c r="F19" s="21">
        <f t="shared" si="7"/>
        <v>646.83050208333339</v>
      </c>
      <c r="G19" s="21">
        <f t="shared" si="5"/>
        <v>160.72050208333334</v>
      </c>
      <c r="H19" s="21">
        <f t="shared" si="9"/>
        <v>486.11</v>
      </c>
      <c r="I19" s="22">
        <f t="shared" si="6"/>
        <v>33055.56</v>
      </c>
      <c r="J19" s="6">
        <f>SUMIF(C5:C87,2028,G5:G87)</f>
        <v>1523.3518124999994</v>
      </c>
      <c r="K19" s="55"/>
    </row>
    <row r="20" spans="1:13" x14ac:dyDescent="0.2">
      <c r="A20" s="23">
        <f t="shared" si="1"/>
        <v>46508</v>
      </c>
      <c r="B20" s="20">
        <f t="shared" si="2"/>
        <v>46508</v>
      </c>
      <c r="C20" s="20">
        <f t="shared" si="3"/>
        <v>2027</v>
      </c>
      <c r="D20" s="20">
        <v>17</v>
      </c>
      <c r="E20" s="21">
        <f t="shared" si="10"/>
        <v>33055.56</v>
      </c>
      <c r="F20" s="21">
        <f t="shared" si="7"/>
        <v>644.50122499999998</v>
      </c>
      <c r="G20" s="21">
        <f t="shared" si="5"/>
        <v>158.39122499999999</v>
      </c>
      <c r="H20" s="21">
        <f t="shared" si="9"/>
        <v>486.11</v>
      </c>
      <c r="I20" s="22">
        <f t="shared" si="6"/>
        <v>32569.449999999997</v>
      </c>
      <c r="J20" s="7" t="str">
        <f>"Summe Zinsen Jahr "&amp;TEXT(start,"JJJJ")+3</f>
        <v>Summe Zinsen Jahr 2029</v>
      </c>
      <c r="K20" s="55"/>
    </row>
    <row r="21" spans="1:13" x14ac:dyDescent="0.2">
      <c r="A21" s="23">
        <f t="shared" si="1"/>
        <v>46539</v>
      </c>
      <c r="B21" s="20">
        <f t="shared" si="2"/>
        <v>46539</v>
      </c>
      <c r="C21" s="20">
        <f t="shared" si="3"/>
        <v>2027</v>
      </c>
      <c r="D21" s="20">
        <v>18</v>
      </c>
      <c r="E21" s="21">
        <f t="shared" si="10"/>
        <v>32569.449999999997</v>
      </c>
      <c r="F21" s="21">
        <f t="shared" si="7"/>
        <v>642.17194791666668</v>
      </c>
      <c r="G21" s="21">
        <f t="shared" si="5"/>
        <v>156.06194791666667</v>
      </c>
      <c r="H21" s="21">
        <f t="shared" si="9"/>
        <v>486.11</v>
      </c>
      <c r="I21" s="22">
        <f>E21-H21</f>
        <v>32083.339999999997</v>
      </c>
      <c r="J21" s="6">
        <f>SUMIF(C5:C87,2029,G5:G87)</f>
        <v>1187.9359124999992</v>
      </c>
      <c r="K21" s="55"/>
      <c r="L21" s="1"/>
    </row>
    <row r="22" spans="1:13" x14ac:dyDescent="0.2">
      <c r="A22" s="23">
        <f t="shared" si="1"/>
        <v>46569</v>
      </c>
      <c r="B22" s="20">
        <f t="shared" si="2"/>
        <v>46569</v>
      </c>
      <c r="C22" s="20">
        <f t="shared" si="3"/>
        <v>2027</v>
      </c>
      <c r="D22" s="20">
        <v>19</v>
      </c>
      <c r="E22" s="21">
        <f t="shared" si="10"/>
        <v>32083.339999999997</v>
      </c>
      <c r="F22" s="21">
        <f t="shared" si="7"/>
        <v>639.84267083333339</v>
      </c>
      <c r="G22" s="21">
        <f t="shared" si="5"/>
        <v>153.73267083333332</v>
      </c>
      <c r="H22" s="21">
        <f t="shared" si="9"/>
        <v>486.11</v>
      </c>
      <c r="I22" s="22">
        <f t="shared" si="6"/>
        <v>31597.229999999996</v>
      </c>
      <c r="J22" s="7" t="str">
        <f>"Summe Zinsen Jahr "&amp;TEXT(start,"JJJJ")+4</f>
        <v>Summe Zinsen Jahr 2030</v>
      </c>
      <c r="K22" s="55"/>
    </row>
    <row r="23" spans="1:13" x14ac:dyDescent="0.2">
      <c r="A23" s="23">
        <f t="shared" si="1"/>
        <v>46600</v>
      </c>
      <c r="B23" s="20">
        <f t="shared" si="2"/>
        <v>46600</v>
      </c>
      <c r="C23" s="20">
        <f t="shared" si="3"/>
        <v>2027</v>
      </c>
      <c r="D23" s="20">
        <v>20</v>
      </c>
      <c r="E23" s="21">
        <f t="shared" si="10"/>
        <v>31597.229999999996</v>
      </c>
      <c r="F23" s="21">
        <f t="shared" si="7"/>
        <v>637.51339374999998</v>
      </c>
      <c r="G23" s="21">
        <f t="shared" si="5"/>
        <v>151.40339374999999</v>
      </c>
      <c r="H23" s="21">
        <f t="shared" si="9"/>
        <v>486.11</v>
      </c>
      <c r="I23" s="22">
        <f t="shared" si="6"/>
        <v>31111.119999999995</v>
      </c>
      <c r="J23" s="6">
        <f>SUMIF(C5:C87,2030,G5:G87)</f>
        <v>852.52001249999864</v>
      </c>
      <c r="K23" s="55"/>
    </row>
    <row r="24" spans="1:13" x14ac:dyDescent="0.2">
      <c r="A24" s="23">
        <f t="shared" si="1"/>
        <v>46631</v>
      </c>
      <c r="B24" s="20">
        <f t="shared" si="2"/>
        <v>46631</v>
      </c>
      <c r="C24" s="20">
        <f t="shared" si="3"/>
        <v>2027</v>
      </c>
      <c r="D24" s="20">
        <v>21</v>
      </c>
      <c r="E24" s="21">
        <f t="shared" si="10"/>
        <v>31111.119999999995</v>
      </c>
      <c r="F24" s="21">
        <f t="shared" si="7"/>
        <v>635.18411666666668</v>
      </c>
      <c r="G24" s="21">
        <f t="shared" si="5"/>
        <v>149.07411666666664</v>
      </c>
      <c r="H24" s="21">
        <f t="shared" si="9"/>
        <v>486.11</v>
      </c>
      <c r="I24" s="22">
        <f>E24-H24</f>
        <v>30625.009999999995</v>
      </c>
      <c r="J24" s="7" t="str">
        <f>"Summe Zinsen Jahr "&amp;TEXT(start,"JJJJ")+5</f>
        <v>Summe Zinsen Jahr 2031</v>
      </c>
      <c r="K24" s="55"/>
    </row>
    <row r="25" spans="1:13" x14ac:dyDescent="0.2">
      <c r="A25" s="23">
        <f t="shared" si="1"/>
        <v>46661</v>
      </c>
      <c r="B25" s="20">
        <f t="shared" si="2"/>
        <v>46661</v>
      </c>
      <c r="C25" s="20">
        <f t="shared" si="3"/>
        <v>2027</v>
      </c>
      <c r="D25" s="20">
        <v>22</v>
      </c>
      <c r="E25" s="21">
        <f t="shared" si="10"/>
        <v>30625.009999999995</v>
      </c>
      <c r="F25" s="21">
        <f t="shared" si="7"/>
        <v>632.85483958333339</v>
      </c>
      <c r="G25" s="21">
        <f t="shared" si="5"/>
        <v>146.74483958333332</v>
      </c>
      <c r="H25" s="21">
        <f t="shared" si="9"/>
        <v>486.11</v>
      </c>
      <c r="I25" s="22">
        <f>E25-H25</f>
        <v>30138.899999999994</v>
      </c>
      <c r="J25" s="6">
        <f>SUMIF(C5:C87,2031,G5:G87)</f>
        <v>517.10411249999834</v>
      </c>
      <c r="K25" s="55"/>
      <c r="M25" s="1"/>
    </row>
    <row r="26" spans="1:13" x14ac:dyDescent="0.2">
      <c r="A26" s="23">
        <f t="shared" si="1"/>
        <v>46692</v>
      </c>
      <c r="B26" s="20">
        <f t="shared" si="2"/>
        <v>46692</v>
      </c>
      <c r="C26" s="20">
        <f t="shared" si="3"/>
        <v>2027</v>
      </c>
      <c r="D26" s="20">
        <v>23</v>
      </c>
      <c r="E26" s="21">
        <f t="shared" si="10"/>
        <v>30138.899999999994</v>
      </c>
      <c r="F26" s="21">
        <f t="shared" si="7"/>
        <v>630.52556249999998</v>
      </c>
      <c r="G26" s="21">
        <f t="shared" si="5"/>
        <v>144.41556249999999</v>
      </c>
      <c r="H26" s="21">
        <f t="shared" si="9"/>
        <v>486.11</v>
      </c>
      <c r="I26" s="22">
        <f t="shared" si="6"/>
        <v>29652.789999999994</v>
      </c>
      <c r="J26" s="7" t="str">
        <f>"Summe Zinsen Jahr "&amp;TEXT(start,"JJJJ")+6</f>
        <v>Summe Zinsen Jahr 2032</v>
      </c>
      <c r="K26" s="55"/>
    </row>
    <row r="27" spans="1:13" x14ac:dyDescent="0.2">
      <c r="A27" s="23">
        <f t="shared" si="1"/>
        <v>46722</v>
      </c>
      <c r="B27" s="20">
        <f t="shared" si="2"/>
        <v>46722</v>
      </c>
      <c r="C27" s="20">
        <f t="shared" si="3"/>
        <v>2027</v>
      </c>
      <c r="D27" s="20">
        <v>24</v>
      </c>
      <c r="E27" s="21">
        <f t="shared" si="10"/>
        <v>29652.789999999994</v>
      </c>
      <c r="F27" s="21">
        <f t="shared" si="7"/>
        <v>628.19628541666668</v>
      </c>
      <c r="G27" s="21">
        <f t="shared" si="5"/>
        <v>142.08628541666664</v>
      </c>
      <c r="H27" s="21">
        <f t="shared" si="9"/>
        <v>486.11</v>
      </c>
      <c r="I27" s="22">
        <f t="shared" si="6"/>
        <v>29166.679999999993</v>
      </c>
      <c r="J27" s="6">
        <f>SUMIF(C5:C87,2032,G5:G87)</f>
        <v>181.68821249999829</v>
      </c>
      <c r="K27" s="55"/>
    </row>
    <row r="28" spans="1:13" x14ac:dyDescent="0.2">
      <c r="A28" s="23">
        <f t="shared" si="1"/>
        <v>46753</v>
      </c>
      <c r="B28" s="20">
        <f t="shared" si="2"/>
        <v>46753</v>
      </c>
      <c r="C28" s="20">
        <f t="shared" si="3"/>
        <v>2028</v>
      </c>
      <c r="D28" s="20">
        <v>25</v>
      </c>
      <c r="E28" s="21">
        <f>I27</f>
        <v>29166.679999999993</v>
      </c>
      <c r="F28" s="21">
        <f t="shared" si="7"/>
        <v>625.86700833333327</v>
      </c>
      <c r="G28" s="21">
        <f t="shared" si="5"/>
        <v>139.75700833333329</v>
      </c>
      <c r="H28" s="21">
        <f t="shared" si="9"/>
        <v>486.11</v>
      </c>
      <c r="I28" s="22">
        <f t="shared" si="6"/>
        <v>28680.569999999992</v>
      </c>
      <c r="J28" s="7" t="str">
        <f>"Summe Zinsen Jahr "&amp;TEXT(start,"JJJJ")+7</f>
        <v>Summe Zinsen Jahr 2033</v>
      </c>
      <c r="K28" s="55"/>
    </row>
    <row r="29" spans="1:13" ht="13.5" thickBot="1" x14ac:dyDescent="0.25">
      <c r="A29" s="23">
        <f t="shared" si="1"/>
        <v>46784</v>
      </c>
      <c r="B29" s="20">
        <f t="shared" si="2"/>
        <v>46784</v>
      </c>
      <c r="C29" s="20">
        <f t="shared" si="3"/>
        <v>2028</v>
      </c>
      <c r="D29" s="20">
        <v>26</v>
      </c>
      <c r="E29" s="21">
        <f>I28</f>
        <v>28680.569999999992</v>
      </c>
      <c r="F29" s="21">
        <f t="shared" si="7"/>
        <v>623.53773124999998</v>
      </c>
      <c r="G29" s="21">
        <f t="shared" si="5"/>
        <v>137.42773124999997</v>
      </c>
      <c r="H29" s="21">
        <f t="shared" si="9"/>
        <v>486.11</v>
      </c>
      <c r="I29" s="22">
        <f t="shared" si="6"/>
        <v>28194.459999999992</v>
      </c>
      <c r="J29" s="8">
        <f>SUMIF(C5:C87,2033,G5:G87)</f>
        <v>0</v>
      </c>
      <c r="K29" s="55"/>
    </row>
    <row r="30" spans="1:13" x14ac:dyDescent="0.2">
      <c r="A30" s="23">
        <f t="shared" si="1"/>
        <v>46813</v>
      </c>
      <c r="B30" s="20">
        <f t="shared" si="2"/>
        <v>46813</v>
      </c>
      <c r="C30" s="20">
        <f t="shared" si="3"/>
        <v>2028</v>
      </c>
      <c r="D30" s="20">
        <v>27</v>
      </c>
      <c r="E30" s="21">
        <f t="shared" ref="E30:E39" si="11">I29</f>
        <v>28194.459999999992</v>
      </c>
      <c r="F30" s="21">
        <f t="shared" si="7"/>
        <v>621.20845416666668</v>
      </c>
      <c r="G30" s="21">
        <f t="shared" si="5"/>
        <v>135.09845416666664</v>
      </c>
      <c r="H30" s="21">
        <f t="shared" si="9"/>
        <v>486.11</v>
      </c>
      <c r="I30" s="22">
        <f>E30-H30</f>
        <v>27708.349999999991</v>
      </c>
      <c r="J30" s="5" t="str">
        <f>"Summe Tilgung Jahr "&amp;TEXT(start,"JJJJ")</f>
        <v>Summe Tilgung Jahr 2026</v>
      </c>
      <c r="K30" s="54">
        <f>J31+J33+J35+J37+J39+J41+J43+J45</f>
        <v>34999.999999999971</v>
      </c>
    </row>
    <row r="31" spans="1:13" x14ac:dyDescent="0.2">
      <c r="A31" s="23">
        <f t="shared" si="1"/>
        <v>46844</v>
      </c>
      <c r="B31" s="20">
        <f t="shared" si="2"/>
        <v>46844</v>
      </c>
      <c r="C31" s="20">
        <f t="shared" si="3"/>
        <v>2028</v>
      </c>
      <c r="D31" s="20">
        <v>28</v>
      </c>
      <c r="E31" s="21">
        <f t="shared" si="11"/>
        <v>27708.349999999991</v>
      </c>
      <c r="F31" s="21">
        <f t="shared" si="7"/>
        <v>618.87917708333327</v>
      </c>
      <c r="G31" s="21">
        <f t="shared" si="5"/>
        <v>132.76917708333329</v>
      </c>
      <c r="H31" s="21">
        <f t="shared" si="9"/>
        <v>486.11</v>
      </c>
      <c r="I31" s="22">
        <f t="shared" si="6"/>
        <v>27222.239999999991</v>
      </c>
      <c r="J31" s="6">
        <f>SUMIF(C5:C87,"2026",H5:H87)+H4</f>
        <v>0</v>
      </c>
      <c r="K31" s="55"/>
    </row>
    <row r="32" spans="1:13" x14ac:dyDescent="0.2">
      <c r="A32" s="23">
        <f t="shared" si="1"/>
        <v>46874</v>
      </c>
      <c r="B32" s="20">
        <f t="shared" si="2"/>
        <v>46874</v>
      </c>
      <c r="C32" s="20">
        <f t="shared" si="3"/>
        <v>2028</v>
      </c>
      <c r="D32" s="20">
        <v>29</v>
      </c>
      <c r="E32" s="21">
        <f t="shared" si="11"/>
        <v>27222.239999999991</v>
      </c>
      <c r="F32" s="21">
        <f t="shared" si="7"/>
        <v>616.54989999999998</v>
      </c>
      <c r="G32" s="21">
        <f t="shared" si="5"/>
        <v>130.43989999999997</v>
      </c>
      <c r="H32" s="21">
        <f t="shared" si="9"/>
        <v>486.11</v>
      </c>
      <c r="I32" s="22">
        <f t="shared" si="6"/>
        <v>26736.12999999999</v>
      </c>
      <c r="J32" s="7" t="str">
        <f>"Summe Tilgung Jahr "&amp;TEXT(start,"JJJJ")+1</f>
        <v>Summe Tilgung Jahr 2027</v>
      </c>
      <c r="K32" s="55"/>
    </row>
    <row r="33" spans="1:11" x14ac:dyDescent="0.2">
      <c r="A33" s="23">
        <f t="shared" si="1"/>
        <v>46905</v>
      </c>
      <c r="B33" s="20">
        <f t="shared" si="2"/>
        <v>46905</v>
      </c>
      <c r="C33" s="20">
        <f t="shared" si="3"/>
        <v>2028</v>
      </c>
      <c r="D33" s="20">
        <v>30</v>
      </c>
      <c r="E33" s="21">
        <f t="shared" si="11"/>
        <v>26736.12999999999</v>
      </c>
      <c r="F33" s="21">
        <f t="shared" si="7"/>
        <v>614.22062291666668</v>
      </c>
      <c r="G33" s="21">
        <f t="shared" si="5"/>
        <v>128.11062291666664</v>
      </c>
      <c r="H33" s="21">
        <f t="shared" si="9"/>
        <v>486.11</v>
      </c>
      <c r="I33" s="22">
        <f t="shared" si="6"/>
        <v>26250.01999999999</v>
      </c>
      <c r="J33" s="6">
        <f>SUMIF(C5:C87,"2027",H5:H87)</f>
        <v>5833.32</v>
      </c>
      <c r="K33" s="55"/>
    </row>
    <row r="34" spans="1:11" x14ac:dyDescent="0.2">
      <c r="A34" s="23">
        <f t="shared" si="1"/>
        <v>46935</v>
      </c>
      <c r="B34" s="20">
        <f t="shared" si="2"/>
        <v>46935</v>
      </c>
      <c r="C34" s="20">
        <f t="shared" si="3"/>
        <v>2028</v>
      </c>
      <c r="D34" s="20">
        <v>31</v>
      </c>
      <c r="E34" s="21">
        <f t="shared" si="11"/>
        <v>26250.01999999999</v>
      </c>
      <c r="F34" s="21">
        <f t="shared" si="7"/>
        <v>611.89134583333328</v>
      </c>
      <c r="G34" s="21">
        <f t="shared" si="5"/>
        <v>125.78134583333328</v>
      </c>
      <c r="H34" s="21">
        <f t="shared" si="9"/>
        <v>486.11</v>
      </c>
      <c r="I34" s="22">
        <f t="shared" si="6"/>
        <v>25763.909999999989</v>
      </c>
      <c r="J34" s="7" t="str">
        <f>"Summe Tilgung Jahr "&amp;TEXT(start,"JJJJ")+2</f>
        <v>Summe Tilgung Jahr 2028</v>
      </c>
      <c r="K34" s="55"/>
    </row>
    <row r="35" spans="1:11" x14ac:dyDescent="0.2">
      <c r="A35" s="23">
        <f t="shared" si="1"/>
        <v>46966</v>
      </c>
      <c r="B35" s="20">
        <f t="shared" si="2"/>
        <v>46966</v>
      </c>
      <c r="C35" s="20">
        <f t="shared" si="3"/>
        <v>2028</v>
      </c>
      <c r="D35" s="20">
        <v>32</v>
      </c>
      <c r="E35" s="21">
        <f t="shared" si="11"/>
        <v>25763.909999999989</v>
      </c>
      <c r="F35" s="21">
        <f t="shared" si="7"/>
        <v>609.56206874999998</v>
      </c>
      <c r="G35" s="21">
        <f t="shared" si="5"/>
        <v>123.45206874999995</v>
      </c>
      <c r="H35" s="21">
        <f t="shared" si="9"/>
        <v>486.11</v>
      </c>
      <c r="I35" s="22">
        <f>E35-H35</f>
        <v>25277.799999999988</v>
      </c>
      <c r="J35" s="6">
        <f>SUMIF(C5:C87,"2028",H5:H87)</f>
        <v>5833.32</v>
      </c>
      <c r="K35" s="55"/>
    </row>
    <row r="36" spans="1:11" x14ac:dyDescent="0.2">
      <c r="A36" s="23">
        <f t="shared" si="1"/>
        <v>46997</v>
      </c>
      <c r="B36" s="20">
        <f t="shared" si="2"/>
        <v>46997</v>
      </c>
      <c r="C36" s="20">
        <f t="shared" si="3"/>
        <v>2028</v>
      </c>
      <c r="D36" s="20">
        <v>33</v>
      </c>
      <c r="E36" s="21">
        <f t="shared" si="11"/>
        <v>25277.799999999988</v>
      </c>
      <c r="F36" s="21">
        <f t="shared" si="7"/>
        <v>607.23279166666657</v>
      </c>
      <c r="G36" s="21">
        <f t="shared" si="5"/>
        <v>121.12279166666661</v>
      </c>
      <c r="H36" s="21">
        <f t="shared" si="9"/>
        <v>486.11</v>
      </c>
      <c r="I36" s="22">
        <f t="shared" si="6"/>
        <v>24791.689999999988</v>
      </c>
      <c r="J36" s="7" t="str">
        <f>"Summe Tilgung Jahr "&amp;TEXT(start,"JJJJ")+3</f>
        <v>Summe Tilgung Jahr 2029</v>
      </c>
      <c r="K36" s="55"/>
    </row>
    <row r="37" spans="1:11" x14ac:dyDescent="0.2">
      <c r="A37" s="23">
        <f t="shared" si="1"/>
        <v>47027</v>
      </c>
      <c r="B37" s="20">
        <f t="shared" si="2"/>
        <v>47027</v>
      </c>
      <c r="C37" s="20">
        <f t="shared" si="3"/>
        <v>2028</v>
      </c>
      <c r="D37" s="20">
        <v>34</v>
      </c>
      <c r="E37" s="21">
        <f t="shared" si="11"/>
        <v>24791.689999999988</v>
      </c>
      <c r="F37" s="21">
        <f t="shared" si="7"/>
        <v>604.90351458333328</v>
      </c>
      <c r="G37" s="21">
        <f t="shared" si="5"/>
        <v>118.79351458333328</v>
      </c>
      <c r="H37" s="21">
        <f t="shared" si="9"/>
        <v>486.11</v>
      </c>
      <c r="I37" s="22">
        <f t="shared" si="6"/>
        <v>24305.579999999987</v>
      </c>
      <c r="J37" s="6">
        <f>SUMIF(C5:C87,"2029",H4:H87)</f>
        <v>5833.32</v>
      </c>
      <c r="K37" s="55"/>
    </row>
    <row r="38" spans="1:11" x14ac:dyDescent="0.2">
      <c r="A38" s="23">
        <f t="shared" si="1"/>
        <v>47058</v>
      </c>
      <c r="B38" s="20">
        <f t="shared" si="2"/>
        <v>47058</v>
      </c>
      <c r="C38" s="20">
        <f t="shared" si="3"/>
        <v>2028</v>
      </c>
      <c r="D38" s="20">
        <v>35</v>
      </c>
      <c r="E38" s="21">
        <f t="shared" si="11"/>
        <v>24305.579999999987</v>
      </c>
      <c r="F38" s="21">
        <f t="shared" si="7"/>
        <v>602.57423749999998</v>
      </c>
      <c r="G38" s="21">
        <f t="shared" si="5"/>
        <v>116.46423749999995</v>
      </c>
      <c r="H38" s="21">
        <f t="shared" si="9"/>
        <v>486.11</v>
      </c>
      <c r="I38" s="22">
        <f t="shared" si="6"/>
        <v>23819.469999999987</v>
      </c>
      <c r="J38" s="7" t="str">
        <f>"Summe Tilgung Jahr "&amp;TEXT(start,"JJJJ")+4</f>
        <v>Summe Tilgung Jahr 2030</v>
      </c>
      <c r="K38" s="55"/>
    </row>
    <row r="39" spans="1:11" x14ac:dyDescent="0.2">
      <c r="A39" s="23">
        <f t="shared" si="1"/>
        <v>47088</v>
      </c>
      <c r="B39" s="20">
        <f t="shared" si="2"/>
        <v>47088</v>
      </c>
      <c r="C39" s="20">
        <f t="shared" si="3"/>
        <v>2028</v>
      </c>
      <c r="D39" s="20">
        <v>36</v>
      </c>
      <c r="E39" s="21">
        <f t="shared" si="11"/>
        <v>23819.469999999987</v>
      </c>
      <c r="F39" s="21">
        <f t="shared" si="7"/>
        <v>600.24496041666657</v>
      </c>
      <c r="G39" s="21">
        <f t="shared" si="5"/>
        <v>114.13496041666662</v>
      </c>
      <c r="H39" s="21">
        <f t="shared" si="9"/>
        <v>486.11</v>
      </c>
      <c r="I39" s="22">
        <f t="shared" si="6"/>
        <v>23333.359999999986</v>
      </c>
      <c r="J39" s="6">
        <f>SUMIF(C5:C87,"2030",H4:H87)</f>
        <v>5833.32</v>
      </c>
      <c r="K39" s="55"/>
    </row>
    <row r="40" spans="1:11" x14ac:dyDescent="0.2">
      <c r="A40" s="23">
        <f t="shared" si="1"/>
        <v>47119</v>
      </c>
      <c r="B40" s="20">
        <f t="shared" si="2"/>
        <v>47119</v>
      </c>
      <c r="C40" s="20">
        <f t="shared" si="3"/>
        <v>2029</v>
      </c>
      <c r="D40" s="20">
        <v>37</v>
      </c>
      <c r="E40" s="21">
        <f>I39</f>
        <v>23333.359999999986</v>
      </c>
      <c r="F40" s="21">
        <f t="shared" si="7"/>
        <v>597.91568333333328</v>
      </c>
      <c r="G40" s="21">
        <f t="shared" si="5"/>
        <v>111.80568333333326</v>
      </c>
      <c r="H40" s="21">
        <f t="shared" si="9"/>
        <v>486.11</v>
      </c>
      <c r="I40" s="22">
        <f>E40-H40</f>
        <v>22847.249999999985</v>
      </c>
      <c r="J40" s="7" t="str">
        <f>"Summe Tilgung Jahr "&amp;TEXT(start,"JJJJ")+5</f>
        <v>Summe Tilgung Jahr 2031</v>
      </c>
      <c r="K40" s="55"/>
    </row>
    <row r="41" spans="1:11" x14ac:dyDescent="0.2">
      <c r="A41" s="23">
        <f t="shared" si="1"/>
        <v>47150</v>
      </c>
      <c r="B41" s="20">
        <f t="shared" si="2"/>
        <v>47150</v>
      </c>
      <c r="C41" s="20">
        <f t="shared" si="3"/>
        <v>2029</v>
      </c>
      <c r="D41" s="20">
        <v>38</v>
      </c>
      <c r="E41" s="21">
        <f>I40</f>
        <v>22847.249999999985</v>
      </c>
      <c r="F41" s="21">
        <f t="shared" si="7"/>
        <v>595.58640624999998</v>
      </c>
      <c r="G41" s="21">
        <f t="shared" si="5"/>
        <v>109.47640624999993</v>
      </c>
      <c r="H41" s="21">
        <f t="shared" si="9"/>
        <v>486.11</v>
      </c>
      <c r="I41" s="22">
        <f t="shared" si="6"/>
        <v>22361.139999999985</v>
      </c>
      <c r="J41" s="6">
        <f>SUMIF(C5:C87,"2031",H5:H87)</f>
        <v>5833.32</v>
      </c>
      <c r="K41" s="55"/>
    </row>
    <row r="42" spans="1:11" x14ac:dyDescent="0.2">
      <c r="A42" s="23">
        <f t="shared" si="1"/>
        <v>47178</v>
      </c>
      <c r="B42" s="20">
        <f t="shared" si="2"/>
        <v>47178</v>
      </c>
      <c r="C42" s="20">
        <f t="shared" si="3"/>
        <v>2029</v>
      </c>
      <c r="D42" s="20">
        <v>39</v>
      </c>
      <c r="E42" s="21">
        <f t="shared" ref="E42:E51" si="12">I41</f>
        <v>22361.139999999985</v>
      </c>
      <c r="F42" s="21">
        <f t="shared" si="7"/>
        <v>593.25712916666657</v>
      </c>
      <c r="G42" s="21">
        <f t="shared" si="5"/>
        <v>107.1471291666666</v>
      </c>
      <c r="H42" s="21">
        <f t="shared" si="9"/>
        <v>486.11</v>
      </c>
      <c r="I42" s="22">
        <f t="shared" si="6"/>
        <v>21875.029999999984</v>
      </c>
      <c r="J42" s="7" t="str">
        <f>"Summe Tilgung Jahr "&amp;TEXT(start,"JJJJ")+6</f>
        <v>Summe Tilgung Jahr 2032</v>
      </c>
      <c r="K42" s="55"/>
    </row>
    <row r="43" spans="1:11" x14ac:dyDescent="0.2">
      <c r="A43" s="23">
        <f t="shared" si="1"/>
        <v>47209</v>
      </c>
      <c r="B43" s="20">
        <f t="shared" si="2"/>
        <v>47209</v>
      </c>
      <c r="C43" s="20">
        <f t="shared" si="3"/>
        <v>2029</v>
      </c>
      <c r="D43" s="20">
        <v>40</v>
      </c>
      <c r="E43" s="21">
        <f t="shared" si="12"/>
        <v>21875.029999999984</v>
      </c>
      <c r="F43" s="21">
        <f t="shared" si="7"/>
        <v>590.92785208333328</v>
      </c>
      <c r="G43" s="21">
        <f t="shared" si="5"/>
        <v>104.81785208333326</v>
      </c>
      <c r="H43" s="21">
        <f t="shared" si="9"/>
        <v>486.11</v>
      </c>
      <c r="I43" s="22">
        <f t="shared" si="6"/>
        <v>21388.919999999984</v>
      </c>
      <c r="J43" s="6">
        <f>SUMIF(C7:C87,"2032",H7:H87)</f>
        <v>5833.3999999999696</v>
      </c>
      <c r="K43" s="55"/>
    </row>
    <row r="44" spans="1:11" x14ac:dyDescent="0.2">
      <c r="A44" s="23">
        <f t="shared" si="1"/>
        <v>47239</v>
      </c>
      <c r="B44" s="20">
        <f t="shared" si="2"/>
        <v>47239</v>
      </c>
      <c r="C44" s="20">
        <f t="shared" si="3"/>
        <v>2029</v>
      </c>
      <c r="D44" s="20">
        <v>41</v>
      </c>
      <c r="E44" s="21">
        <f t="shared" si="12"/>
        <v>21388.919999999984</v>
      </c>
      <c r="F44" s="21">
        <f t="shared" si="7"/>
        <v>588.59857499999998</v>
      </c>
      <c r="G44" s="21">
        <f t="shared" si="5"/>
        <v>102.48857499999993</v>
      </c>
      <c r="H44" s="21">
        <f t="shared" si="9"/>
        <v>486.11</v>
      </c>
      <c r="I44" s="22">
        <f>E44-H44</f>
        <v>20902.809999999983</v>
      </c>
      <c r="J44" s="7" t="str">
        <f>"Summe Tilgung Jahr "&amp;TEXT(start,"JJJJ")+7</f>
        <v>Summe Tilgung Jahr 2033</v>
      </c>
      <c r="K44" s="55"/>
    </row>
    <row r="45" spans="1:11" ht="13.5" thickBot="1" x14ac:dyDescent="0.25">
      <c r="A45" s="23">
        <f t="shared" si="1"/>
        <v>47270</v>
      </c>
      <c r="B45" s="20">
        <f t="shared" si="2"/>
        <v>47270</v>
      </c>
      <c r="C45" s="20">
        <f t="shared" si="3"/>
        <v>2029</v>
      </c>
      <c r="D45" s="20">
        <v>42</v>
      </c>
      <c r="E45" s="21">
        <f t="shared" si="12"/>
        <v>20902.809999999983</v>
      </c>
      <c r="F45" s="21">
        <f t="shared" si="7"/>
        <v>586.26929791666657</v>
      </c>
      <c r="G45" s="21">
        <f t="shared" si="5"/>
        <v>100.1592979166666</v>
      </c>
      <c r="H45" s="21">
        <f t="shared" si="9"/>
        <v>486.11</v>
      </c>
      <c r="I45" s="22">
        <f t="shared" si="6"/>
        <v>20416.699999999983</v>
      </c>
      <c r="J45" s="8">
        <f>SUMIF(C9:C87,"2033",H4:H87)</f>
        <v>0</v>
      </c>
      <c r="K45" s="55"/>
    </row>
    <row r="46" spans="1:11" ht="14.25" x14ac:dyDescent="0.2">
      <c r="A46" s="23">
        <f t="shared" si="1"/>
        <v>47300</v>
      </c>
      <c r="B46" s="20">
        <f t="shared" si="2"/>
        <v>47300</v>
      </c>
      <c r="C46" s="20">
        <f t="shared" si="3"/>
        <v>2029</v>
      </c>
      <c r="D46" s="20">
        <v>43</v>
      </c>
      <c r="E46" s="21">
        <f t="shared" si="12"/>
        <v>20416.699999999983</v>
      </c>
      <c r="F46" s="21">
        <f t="shared" si="7"/>
        <v>583.94002083333328</v>
      </c>
      <c r="G46" s="21">
        <f t="shared" si="5"/>
        <v>97.830020833333251</v>
      </c>
      <c r="H46" s="21">
        <f t="shared" si="9"/>
        <v>486.11</v>
      </c>
      <c r="I46" s="22">
        <f t="shared" si="6"/>
        <v>19930.589999999982</v>
      </c>
      <c r="J46" s="9"/>
    </row>
    <row r="47" spans="1:11" ht="14.25" x14ac:dyDescent="0.2">
      <c r="A47" s="23">
        <f t="shared" si="1"/>
        <v>47331</v>
      </c>
      <c r="B47" s="20">
        <f t="shared" si="2"/>
        <v>47331</v>
      </c>
      <c r="C47" s="20">
        <f t="shared" si="3"/>
        <v>2029</v>
      </c>
      <c r="D47" s="20">
        <v>44</v>
      </c>
      <c r="E47" s="21">
        <f t="shared" si="12"/>
        <v>19930.589999999982</v>
      </c>
      <c r="F47" s="21">
        <f t="shared" si="7"/>
        <v>581.61074374999998</v>
      </c>
      <c r="G47" s="21">
        <f t="shared" si="5"/>
        <v>95.500743749999913</v>
      </c>
      <c r="H47" s="21">
        <f t="shared" si="9"/>
        <v>486.11</v>
      </c>
      <c r="I47" s="22">
        <f t="shared" si="6"/>
        <v>19444.479999999981</v>
      </c>
      <c r="J47" s="3"/>
    </row>
    <row r="48" spans="1:11" ht="14.25" x14ac:dyDescent="0.2">
      <c r="A48" s="23">
        <f t="shared" si="1"/>
        <v>47362</v>
      </c>
      <c r="B48" s="20">
        <f t="shared" si="2"/>
        <v>47362</v>
      </c>
      <c r="C48" s="20">
        <f t="shared" si="3"/>
        <v>2029</v>
      </c>
      <c r="D48" s="20">
        <v>45</v>
      </c>
      <c r="E48" s="21">
        <f t="shared" si="12"/>
        <v>19444.479999999981</v>
      </c>
      <c r="F48" s="21">
        <f t="shared" si="7"/>
        <v>579.28146666666657</v>
      </c>
      <c r="G48" s="21">
        <f t="shared" si="5"/>
        <v>93.171466666666575</v>
      </c>
      <c r="H48" s="21">
        <f t="shared" si="9"/>
        <v>486.11</v>
      </c>
      <c r="I48" s="22">
        <f t="shared" si="6"/>
        <v>18958.369999999981</v>
      </c>
      <c r="J48" s="3"/>
    </row>
    <row r="49" spans="1:10" ht="14.25" x14ac:dyDescent="0.2">
      <c r="A49" s="23">
        <f t="shared" si="1"/>
        <v>47392</v>
      </c>
      <c r="B49" s="20">
        <f t="shared" si="2"/>
        <v>47392</v>
      </c>
      <c r="C49" s="20">
        <f t="shared" si="3"/>
        <v>2029</v>
      </c>
      <c r="D49" s="20">
        <v>46</v>
      </c>
      <c r="E49" s="21">
        <f t="shared" si="12"/>
        <v>18958.369999999981</v>
      </c>
      <c r="F49" s="21">
        <f t="shared" si="7"/>
        <v>576.95218958333328</v>
      </c>
      <c r="G49" s="21">
        <f t="shared" si="5"/>
        <v>90.842189583333251</v>
      </c>
      <c r="H49" s="21">
        <f t="shared" si="9"/>
        <v>486.11</v>
      </c>
      <c r="I49" s="22">
        <f>E49-H49</f>
        <v>18472.25999999998</v>
      </c>
      <c r="J49" s="3"/>
    </row>
    <row r="50" spans="1:10" ht="14.25" x14ac:dyDescent="0.2">
      <c r="A50" s="23">
        <f t="shared" si="1"/>
        <v>47423</v>
      </c>
      <c r="B50" s="20">
        <f t="shared" si="2"/>
        <v>47423</v>
      </c>
      <c r="C50" s="20">
        <f t="shared" si="3"/>
        <v>2029</v>
      </c>
      <c r="D50" s="20">
        <v>47</v>
      </c>
      <c r="E50" s="21">
        <f t="shared" si="12"/>
        <v>18472.25999999998</v>
      </c>
      <c r="F50" s="21">
        <f t="shared" si="7"/>
        <v>574.62291249999998</v>
      </c>
      <c r="G50" s="21">
        <f t="shared" si="5"/>
        <v>88.512912499999914</v>
      </c>
      <c r="H50" s="21">
        <f t="shared" si="9"/>
        <v>486.11</v>
      </c>
      <c r="I50" s="22">
        <f t="shared" si="6"/>
        <v>17986.14999999998</v>
      </c>
      <c r="J50" s="3"/>
    </row>
    <row r="51" spans="1:10" ht="14.25" x14ac:dyDescent="0.2">
      <c r="A51" s="23">
        <f t="shared" si="1"/>
        <v>47453</v>
      </c>
      <c r="B51" s="20">
        <f t="shared" si="2"/>
        <v>47453</v>
      </c>
      <c r="C51" s="20">
        <f t="shared" si="3"/>
        <v>2029</v>
      </c>
      <c r="D51" s="20">
        <v>48</v>
      </c>
      <c r="E51" s="21">
        <f t="shared" si="12"/>
        <v>17986.14999999998</v>
      </c>
      <c r="F51" s="21">
        <f t="shared" si="7"/>
        <v>572.29363541666658</v>
      </c>
      <c r="G51" s="21">
        <f t="shared" si="5"/>
        <v>86.183635416666576</v>
      </c>
      <c r="H51" s="21">
        <f t="shared" si="9"/>
        <v>486.11</v>
      </c>
      <c r="I51" s="22">
        <f>E51-H51</f>
        <v>17500.039999999979</v>
      </c>
      <c r="J51" s="3"/>
    </row>
    <row r="52" spans="1:10" ht="14.25" x14ac:dyDescent="0.2">
      <c r="A52" s="23">
        <f t="shared" si="1"/>
        <v>47484</v>
      </c>
      <c r="B52" s="20">
        <f t="shared" si="2"/>
        <v>47484</v>
      </c>
      <c r="C52" s="20">
        <f t="shared" si="3"/>
        <v>2030</v>
      </c>
      <c r="D52" s="20">
        <v>49</v>
      </c>
      <c r="E52" s="21">
        <f>I51</f>
        <v>17500.039999999979</v>
      </c>
      <c r="F52" s="21">
        <f t="shared" si="7"/>
        <v>569.96435833333328</v>
      </c>
      <c r="G52" s="21">
        <f t="shared" si="5"/>
        <v>83.854358333333238</v>
      </c>
      <c r="H52" s="21">
        <f t="shared" si="9"/>
        <v>486.11</v>
      </c>
      <c r="I52" s="22">
        <f t="shared" si="6"/>
        <v>17013.929999999978</v>
      </c>
      <c r="J52" s="3"/>
    </row>
    <row r="53" spans="1:10" ht="14.25" x14ac:dyDescent="0.2">
      <c r="A53" s="23">
        <f t="shared" si="1"/>
        <v>47515</v>
      </c>
      <c r="B53" s="20">
        <f t="shared" si="2"/>
        <v>47515</v>
      </c>
      <c r="C53" s="20">
        <f t="shared" si="3"/>
        <v>2030</v>
      </c>
      <c r="D53" s="20">
        <v>50</v>
      </c>
      <c r="E53" s="21">
        <f>I52</f>
        <v>17013.929999999978</v>
      </c>
      <c r="F53" s="21">
        <f t="shared" si="7"/>
        <v>567.63508124999987</v>
      </c>
      <c r="G53" s="21">
        <f t="shared" si="5"/>
        <v>81.5250812499999</v>
      </c>
      <c r="H53" s="21">
        <f t="shared" si="9"/>
        <v>486.11</v>
      </c>
      <c r="I53" s="22">
        <f>E53-H53</f>
        <v>16527.819999999978</v>
      </c>
      <c r="J53" s="3"/>
    </row>
    <row r="54" spans="1:10" ht="14.25" x14ac:dyDescent="0.2">
      <c r="A54" s="23">
        <f t="shared" si="1"/>
        <v>47543</v>
      </c>
      <c r="B54" s="20">
        <f t="shared" si="2"/>
        <v>47543</v>
      </c>
      <c r="C54" s="20">
        <f t="shared" si="3"/>
        <v>2030</v>
      </c>
      <c r="D54" s="20">
        <v>51</v>
      </c>
      <c r="E54" s="21">
        <f t="shared" ref="E54:E62" si="13">I53</f>
        <v>16527.819999999978</v>
      </c>
      <c r="F54" s="21">
        <f t="shared" si="7"/>
        <v>565.30580416666658</v>
      </c>
      <c r="G54" s="21">
        <f t="shared" si="5"/>
        <v>79.195804166666562</v>
      </c>
      <c r="H54" s="21">
        <f t="shared" si="9"/>
        <v>486.11</v>
      </c>
      <c r="I54" s="22">
        <f t="shared" si="6"/>
        <v>16041.709999999977</v>
      </c>
      <c r="J54" s="3"/>
    </row>
    <row r="55" spans="1:10" ht="14.25" x14ac:dyDescent="0.2">
      <c r="A55" s="23">
        <f t="shared" si="1"/>
        <v>47574</v>
      </c>
      <c r="B55" s="20">
        <f t="shared" si="2"/>
        <v>47574</v>
      </c>
      <c r="C55" s="20">
        <f t="shared" si="3"/>
        <v>2030</v>
      </c>
      <c r="D55" s="20">
        <v>52</v>
      </c>
      <c r="E55" s="21">
        <f t="shared" si="13"/>
        <v>16041.709999999977</v>
      </c>
      <c r="F55" s="21">
        <f t="shared" si="7"/>
        <v>562.97652708333328</v>
      </c>
      <c r="G55" s="21">
        <f t="shared" si="5"/>
        <v>76.866527083333224</v>
      </c>
      <c r="H55" s="21">
        <f t="shared" si="9"/>
        <v>486.11</v>
      </c>
      <c r="I55" s="22">
        <f t="shared" si="6"/>
        <v>15555.599999999977</v>
      </c>
      <c r="J55" s="3"/>
    </row>
    <row r="56" spans="1:10" ht="14.25" x14ac:dyDescent="0.2">
      <c r="A56" s="23">
        <f t="shared" si="1"/>
        <v>47604</v>
      </c>
      <c r="B56" s="20">
        <f t="shared" si="2"/>
        <v>47604</v>
      </c>
      <c r="C56" s="20">
        <f t="shared" si="3"/>
        <v>2030</v>
      </c>
      <c r="D56" s="20">
        <v>53</v>
      </c>
      <c r="E56" s="21">
        <f t="shared" si="13"/>
        <v>15555.599999999977</v>
      </c>
      <c r="F56" s="21">
        <f t="shared" si="7"/>
        <v>560.64724999999987</v>
      </c>
      <c r="G56" s="21">
        <f t="shared" si="5"/>
        <v>74.537249999999901</v>
      </c>
      <c r="H56" s="21">
        <f t="shared" si="9"/>
        <v>486.11</v>
      </c>
      <c r="I56" s="22">
        <f t="shared" si="6"/>
        <v>15069.489999999976</v>
      </c>
      <c r="J56" s="3"/>
    </row>
    <row r="57" spans="1:10" ht="14.25" x14ac:dyDescent="0.2">
      <c r="A57" s="23">
        <f t="shared" si="1"/>
        <v>47635</v>
      </c>
      <c r="B57" s="20">
        <f t="shared" si="2"/>
        <v>47635</v>
      </c>
      <c r="C57" s="20">
        <f t="shared" si="3"/>
        <v>2030</v>
      </c>
      <c r="D57" s="20">
        <v>54</v>
      </c>
      <c r="E57" s="21">
        <f t="shared" si="13"/>
        <v>15069.489999999976</v>
      </c>
      <c r="F57" s="21">
        <f t="shared" si="7"/>
        <v>558.31797291666658</v>
      </c>
      <c r="G57" s="21">
        <f t="shared" si="5"/>
        <v>72.207972916666549</v>
      </c>
      <c r="H57" s="21">
        <f t="shared" si="9"/>
        <v>486.11</v>
      </c>
      <c r="I57" s="22">
        <f t="shared" si="6"/>
        <v>14583.379999999976</v>
      </c>
      <c r="J57" s="3"/>
    </row>
    <row r="58" spans="1:10" ht="14.25" x14ac:dyDescent="0.2">
      <c r="A58" s="23">
        <f t="shared" si="1"/>
        <v>47665</v>
      </c>
      <c r="B58" s="20">
        <f t="shared" si="2"/>
        <v>47665</v>
      </c>
      <c r="C58" s="20">
        <f t="shared" si="3"/>
        <v>2030</v>
      </c>
      <c r="D58" s="20">
        <v>55</v>
      </c>
      <c r="E58" s="21">
        <f t="shared" si="13"/>
        <v>14583.379999999976</v>
      </c>
      <c r="F58" s="21">
        <f t="shared" si="7"/>
        <v>555.98869583333328</v>
      </c>
      <c r="G58" s="21">
        <f t="shared" si="5"/>
        <v>69.878695833333225</v>
      </c>
      <c r="H58" s="21">
        <f t="shared" si="9"/>
        <v>486.11</v>
      </c>
      <c r="I58" s="22">
        <f>E58-H58</f>
        <v>14097.269999999975</v>
      </c>
      <c r="J58" s="3"/>
    </row>
    <row r="59" spans="1:10" ht="14.25" x14ac:dyDescent="0.2">
      <c r="A59" s="23">
        <f t="shared" si="1"/>
        <v>47696</v>
      </c>
      <c r="B59" s="20">
        <f t="shared" si="2"/>
        <v>47696</v>
      </c>
      <c r="C59" s="20">
        <f t="shared" si="3"/>
        <v>2030</v>
      </c>
      <c r="D59" s="20">
        <v>56</v>
      </c>
      <c r="E59" s="21">
        <f t="shared" si="13"/>
        <v>14097.269999999975</v>
      </c>
      <c r="F59" s="21">
        <f t="shared" si="7"/>
        <v>553.65941874999987</v>
      </c>
      <c r="G59" s="21">
        <f t="shared" si="5"/>
        <v>67.549418749999887</v>
      </c>
      <c r="H59" s="21">
        <f t="shared" si="9"/>
        <v>486.11</v>
      </c>
      <c r="I59" s="22">
        <f t="shared" si="6"/>
        <v>13611.159999999974</v>
      </c>
      <c r="J59" s="3"/>
    </row>
    <row r="60" spans="1:10" ht="14.25" x14ac:dyDescent="0.2">
      <c r="A60" s="23">
        <f t="shared" si="1"/>
        <v>47727</v>
      </c>
      <c r="B60" s="20">
        <f t="shared" si="2"/>
        <v>47727</v>
      </c>
      <c r="C60" s="20">
        <f t="shared" si="3"/>
        <v>2030</v>
      </c>
      <c r="D60" s="20">
        <v>57</v>
      </c>
      <c r="E60" s="21">
        <f t="shared" si="13"/>
        <v>13611.159999999974</v>
      </c>
      <c r="F60" s="21">
        <f t="shared" si="7"/>
        <v>551.33014166666658</v>
      </c>
      <c r="G60" s="21">
        <f t="shared" si="5"/>
        <v>65.220141666666549</v>
      </c>
      <c r="H60" s="21">
        <f t="shared" si="9"/>
        <v>486.11</v>
      </c>
      <c r="I60" s="22">
        <f t="shared" si="6"/>
        <v>13125.049999999974</v>
      </c>
      <c r="J60" s="3"/>
    </row>
    <row r="61" spans="1:10" ht="14.25" x14ac:dyDescent="0.2">
      <c r="A61" s="23">
        <f t="shared" si="1"/>
        <v>47757</v>
      </c>
      <c r="B61" s="20">
        <f t="shared" si="2"/>
        <v>47757</v>
      </c>
      <c r="C61" s="20">
        <f t="shared" si="3"/>
        <v>2030</v>
      </c>
      <c r="D61" s="20">
        <v>58</v>
      </c>
      <c r="E61" s="21">
        <f t="shared" si="13"/>
        <v>13125.049999999974</v>
      </c>
      <c r="F61" s="21">
        <f t="shared" si="7"/>
        <v>549.00086458333317</v>
      </c>
      <c r="G61" s="21">
        <f t="shared" si="5"/>
        <v>62.890864583333212</v>
      </c>
      <c r="H61" s="21">
        <f t="shared" si="9"/>
        <v>486.11</v>
      </c>
      <c r="I61" s="22">
        <f t="shared" si="6"/>
        <v>12638.939999999973</v>
      </c>
      <c r="J61" s="3"/>
    </row>
    <row r="62" spans="1:10" ht="14.25" x14ac:dyDescent="0.2">
      <c r="A62" s="23">
        <f t="shared" si="1"/>
        <v>47788</v>
      </c>
      <c r="B62" s="20">
        <f t="shared" si="2"/>
        <v>47788</v>
      </c>
      <c r="C62" s="20">
        <f t="shared" si="3"/>
        <v>2030</v>
      </c>
      <c r="D62" s="20">
        <v>59</v>
      </c>
      <c r="E62" s="21">
        <f t="shared" si="13"/>
        <v>12638.939999999973</v>
      </c>
      <c r="F62" s="21">
        <f t="shared" si="7"/>
        <v>546.67158749999987</v>
      </c>
      <c r="G62" s="21">
        <f t="shared" si="5"/>
        <v>60.561587499999881</v>
      </c>
      <c r="H62" s="21">
        <f t="shared" si="9"/>
        <v>486.11</v>
      </c>
      <c r="I62" s="22">
        <f>E62-H62</f>
        <v>12152.829999999973</v>
      </c>
      <c r="J62" s="3"/>
    </row>
    <row r="63" spans="1:10" ht="14.25" x14ac:dyDescent="0.2">
      <c r="A63" s="23">
        <f t="shared" si="1"/>
        <v>47818</v>
      </c>
      <c r="B63" s="20">
        <f t="shared" si="2"/>
        <v>47818</v>
      </c>
      <c r="C63" s="20">
        <f t="shared" si="3"/>
        <v>2030</v>
      </c>
      <c r="D63" s="20">
        <v>60</v>
      </c>
      <c r="E63" s="21">
        <f>I62</f>
        <v>12152.829999999973</v>
      </c>
      <c r="F63" s="21">
        <f t="shared" si="7"/>
        <v>544.34231041666658</v>
      </c>
      <c r="G63" s="21">
        <f t="shared" si="5"/>
        <v>58.232310416666536</v>
      </c>
      <c r="H63" s="21">
        <f t="shared" si="9"/>
        <v>486.11</v>
      </c>
      <c r="I63" s="22">
        <f>E63-H63</f>
        <v>11666.719999999972</v>
      </c>
      <c r="J63" s="3"/>
    </row>
    <row r="64" spans="1:10" ht="14.25" x14ac:dyDescent="0.2">
      <c r="A64" s="23">
        <f t="shared" si="1"/>
        <v>47849</v>
      </c>
      <c r="B64" s="20">
        <f t="shared" ref="B64:B87" si="14">A64</f>
        <v>47849</v>
      </c>
      <c r="C64" s="20">
        <f t="shared" ref="C64:C87" si="15">YEAR(B64)</f>
        <v>2031</v>
      </c>
      <c r="D64" s="20">
        <v>61</v>
      </c>
      <c r="E64" s="21">
        <f t="shared" ref="E64:E87" si="16">I63</f>
        <v>11666.719999999972</v>
      </c>
      <c r="F64" s="21">
        <f t="shared" si="7"/>
        <v>542.01303333333317</v>
      </c>
      <c r="G64" s="21">
        <f t="shared" si="5"/>
        <v>55.903033333333205</v>
      </c>
      <c r="H64" s="21">
        <f t="shared" si="9"/>
        <v>486.11</v>
      </c>
      <c r="I64" s="22">
        <f t="shared" ref="I64:I87" si="17">E64-H64</f>
        <v>11180.609999999971</v>
      </c>
      <c r="J64" s="3"/>
    </row>
    <row r="65" spans="1:10" ht="14.25" x14ac:dyDescent="0.2">
      <c r="A65" s="23">
        <f t="shared" si="1"/>
        <v>47880</v>
      </c>
      <c r="B65" s="20">
        <f t="shared" si="14"/>
        <v>47880</v>
      </c>
      <c r="C65" s="20">
        <f t="shared" si="15"/>
        <v>2031</v>
      </c>
      <c r="D65" s="20">
        <v>62</v>
      </c>
      <c r="E65" s="21">
        <f t="shared" si="16"/>
        <v>11180.609999999971</v>
      </c>
      <c r="F65" s="21">
        <f t="shared" si="7"/>
        <v>539.68375624999987</v>
      </c>
      <c r="G65" s="21">
        <f t="shared" si="5"/>
        <v>53.573756249999867</v>
      </c>
      <c r="H65" s="21">
        <f t="shared" si="9"/>
        <v>486.11</v>
      </c>
      <c r="I65" s="22">
        <f t="shared" si="17"/>
        <v>10694.499999999971</v>
      </c>
      <c r="J65" s="3"/>
    </row>
    <row r="66" spans="1:10" ht="14.25" x14ac:dyDescent="0.2">
      <c r="A66" s="23">
        <f t="shared" si="1"/>
        <v>47908</v>
      </c>
      <c r="B66" s="20">
        <f t="shared" si="14"/>
        <v>47908</v>
      </c>
      <c r="C66" s="20">
        <f t="shared" si="15"/>
        <v>2031</v>
      </c>
      <c r="D66" s="20">
        <v>63</v>
      </c>
      <c r="E66" s="21">
        <f t="shared" si="16"/>
        <v>10694.499999999971</v>
      </c>
      <c r="F66" s="21">
        <f t="shared" si="7"/>
        <v>537.35447916666658</v>
      </c>
      <c r="G66" s="21">
        <f t="shared" si="5"/>
        <v>51.24447916666653</v>
      </c>
      <c r="H66" s="21">
        <f t="shared" si="9"/>
        <v>486.11</v>
      </c>
      <c r="I66" s="22">
        <f t="shared" si="17"/>
        <v>10208.38999999997</v>
      </c>
      <c r="J66" s="3"/>
    </row>
    <row r="67" spans="1:10" ht="14.25" x14ac:dyDescent="0.2">
      <c r="A67" s="23">
        <f t="shared" si="1"/>
        <v>47939</v>
      </c>
      <c r="B67" s="20">
        <f t="shared" si="14"/>
        <v>47939</v>
      </c>
      <c r="C67" s="20">
        <f t="shared" si="15"/>
        <v>2031</v>
      </c>
      <c r="D67" s="20">
        <v>64</v>
      </c>
      <c r="E67" s="21">
        <f t="shared" si="16"/>
        <v>10208.38999999997</v>
      </c>
      <c r="F67" s="21">
        <f t="shared" si="7"/>
        <v>535.02520208333317</v>
      </c>
      <c r="G67" s="21">
        <f t="shared" si="5"/>
        <v>48.915202083333192</v>
      </c>
      <c r="H67" s="21">
        <f t="shared" si="9"/>
        <v>486.11</v>
      </c>
      <c r="I67" s="22">
        <f t="shared" si="17"/>
        <v>9722.2799999999697</v>
      </c>
      <c r="J67" s="3"/>
    </row>
    <row r="68" spans="1:10" ht="14.25" x14ac:dyDescent="0.2">
      <c r="A68" s="23">
        <f t="shared" si="1"/>
        <v>47969</v>
      </c>
      <c r="B68" s="20">
        <f t="shared" si="14"/>
        <v>47969</v>
      </c>
      <c r="C68" s="20">
        <f t="shared" si="15"/>
        <v>2031</v>
      </c>
      <c r="D68" s="20">
        <v>65</v>
      </c>
      <c r="E68" s="21">
        <f t="shared" si="16"/>
        <v>9722.2799999999697</v>
      </c>
      <c r="F68" s="21">
        <f t="shared" si="7"/>
        <v>532.69592499999987</v>
      </c>
      <c r="G68" s="21">
        <f t="shared" si="5"/>
        <v>46.585924999999861</v>
      </c>
      <c r="H68" s="21">
        <f t="shared" si="9"/>
        <v>486.11</v>
      </c>
      <c r="I68" s="22">
        <f t="shared" si="17"/>
        <v>9236.1699999999691</v>
      </c>
      <c r="J68" s="3"/>
    </row>
    <row r="69" spans="1:10" ht="14.25" x14ac:dyDescent="0.2">
      <c r="A69" s="23">
        <f t="shared" si="1"/>
        <v>48000</v>
      </c>
      <c r="B69" s="20">
        <f t="shared" si="14"/>
        <v>48000</v>
      </c>
      <c r="C69" s="20">
        <f t="shared" si="15"/>
        <v>2031</v>
      </c>
      <c r="D69" s="20">
        <v>66</v>
      </c>
      <c r="E69" s="21">
        <f t="shared" si="16"/>
        <v>9236.1699999999691</v>
      </c>
      <c r="F69" s="21">
        <f t="shared" si="7"/>
        <v>530.36664791666658</v>
      </c>
      <c r="G69" s="21">
        <f t="shared" si="5"/>
        <v>44.256647916666516</v>
      </c>
      <c r="H69" s="21">
        <f t="shared" si="9"/>
        <v>486.11</v>
      </c>
      <c r="I69" s="22">
        <f t="shared" si="17"/>
        <v>8750.0599999999686</v>
      </c>
      <c r="J69" s="3"/>
    </row>
    <row r="70" spans="1:10" ht="14.25" x14ac:dyDescent="0.2">
      <c r="A70" s="23">
        <f t="shared" ref="A70:A87" si="18">EDATE(A69,1)</f>
        <v>48030</v>
      </c>
      <c r="B70" s="20">
        <f t="shared" si="14"/>
        <v>48030</v>
      </c>
      <c r="C70" s="20">
        <f t="shared" si="15"/>
        <v>2031</v>
      </c>
      <c r="D70" s="20">
        <v>67</v>
      </c>
      <c r="E70" s="21">
        <f t="shared" si="16"/>
        <v>8750.0599999999686</v>
      </c>
      <c r="F70" s="21">
        <f t="shared" si="7"/>
        <v>528.03737083333317</v>
      </c>
      <c r="G70" s="21">
        <f t="shared" ref="G70:G87" si="19">E70*5.75%/12</f>
        <v>41.927370833333185</v>
      </c>
      <c r="H70" s="21">
        <f t="shared" si="9"/>
        <v>486.11</v>
      </c>
      <c r="I70" s="22">
        <f t="shared" si="17"/>
        <v>8263.949999999968</v>
      </c>
      <c r="J70" s="3"/>
    </row>
    <row r="71" spans="1:10" ht="14.25" x14ac:dyDescent="0.2">
      <c r="A71" s="23">
        <f t="shared" si="18"/>
        <v>48061</v>
      </c>
      <c r="B71" s="20">
        <f t="shared" si="14"/>
        <v>48061</v>
      </c>
      <c r="C71" s="20">
        <f t="shared" si="15"/>
        <v>2031</v>
      </c>
      <c r="D71" s="20">
        <v>68</v>
      </c>
      <c r="E71" s="21">
        <f t="shared" si="16"/>
        <v>8263.949999999968</v>
      </c>
      <c r="F71" s="21">
        <f t="shared" si="7"/>
        <v>525.70809374999988</v>
      </c>
      <c r="G71" s="21">
        <f t="shared" si="19"/>
        <v>39.598093749999848</v>
      </c>
      <c r="H71" s="21">
        <f t="shared" si="9"/>
        <v>486.11</v>
      </c>
      <c r="I71" s="22">
        <f t="shared" si="17"/>
        <v>7777.8399999999683</v>
      </c>
      <c r="J71" s="3"/>
    </row>
    <row r="72" spans="1:10" ht="14.25" x14ac:dyDescent="0.2">
      <c r="A72" s="23">
        <f t="shared" si="18"/>
        <v>48092</v>
      </c>
      <c r="B72" s="20">
        <f t="shared" si="14"/>
        <v>48092</v>
      </c>
      <c r="C72" s="20">
        <f t="shared" si="15"/>
        <v>2031</v>
      </c>
      <c r="D72" s="20">
        <v>69</v>
      </c>
      <c r="E72" s="21">
        <f t="shared" si="16"/>
        <v>7777.8399999999683</v>
      </c>
      <c r="F72" s="21">
        <f t="shared" si="7"/>
        <v>523.37881666666658</v>
      </c>
      <c r="G72" s="21">
        <f t="shared" si="19"/>
        <v>37.268816666666517</v>
      </c>
      <c r="H72" s="21">
        <f t="shared" si="9"/>
        <v>486.11</v>
      </c>
      <c r="I72" s="22">
        <f t="shared" si="17"/>
        <v>7291.7299999999686</v>
      </c>
      <c r="J72" s="3"/>
    </row>
    <row r="73" spans="1:10" ht="14.25" x14ac:dyDescent="0.2">
      <c r="A73" s="23">
        <f t="shared" si="18"/>
        <v>48122</v>
      </c>
      <c r="B73" s="20">
        <f t="shared" si="14"/>
        <v>48122</v>
      </c>
      <c r="C73" s="20">
        <f t="shared" si="15"/>
        <v>2031</v>
      </c>
      <c r="D73" s="20">
        <v>70</v>
      </c>
      <c r="E73" s="21">
        <f t="shared" si="16"/>
        <v>7291.7299999999686</v>
      </c>
      <c r="F73" s="21">
        <f t="shared" si="7"/>
        <v>521.04953958333317</v>
      </c>
      <c r="G73" s="21">
        <f t="shared" si="19"/>
        <v>34.939539583333186</v>
      </c>
      <c r="H73" s="21">
        <f t="shared" si="9"/>
        <v>486.11</v>
      </c>
      <c r="I73" s="22">
        <f t="shared" si="17"/>
        <v>6805.619999999969</v>
      </c>
      <c r="J73" s="3"/>
    </row>
    <row r="74" spans="1:10" ht="14.25" x14ac:dyDescent="0.2">
      <c r="A74" s="23">
        <f t="shared" si="18"/>
        <v>48153</v>
      </c>
      <c r="B74" s="20">
        <f t="shared" si="14"/>
        <v>48153</v>
      </c>
      <c r="C74" s="20">
        <f t="shared" si="15"/>
        <v>2031</v>
      </c>
      <c r="D74" s="20">
        <v>71</v>
      </c>
      <c r="E74" s="21">
        <f t="shared" si="16"/>
        <v>6805.619999999969</v>
      </c>
      <c r="F74" s="21">
        <f t="shared" si="7"/>
        <v>518.72026249999988</v>
      </c>
      <c r="G74" s="21">
        <f t="shared" si="19"/>
        <v>32.610262499999855</v>
      </c>
      <c r="H74" s="21">
        <f t="shared" si="9"/>
        <v>486.11</v>
      </c>
      <c r="I74" s="22">
        <f t="shared" si="17"/>
        <v>6319.5099999999693</v>
      </c>
      <c r="J74" s="3"/>
    </row>
    <row r="75" spans="1:10" ht="14.25" x14ac:dyDescent="0.2">
      <c r="A75" s="23">
        <f t="shared" si="18"/>
        <v>48183</v>
      </c>
      <c r="B75" s="20">
        <f t="shared" si="14"/>
        <v>48183</v>
      </c>
      <c r="C75" s="20">
        <f t="shared" si="15"/>
        <v>2031</v>
      </c>
      <c r="D75" s="20">
        <v>72</v>
      </c>
      <c r="E75" s="21">
        <f t="shared" si="16"/>
        <v>6319.5099999999693</v>
      </c>
      <c r="F75" s="21">
        <f t="shared" ref="F75:F87" si="20">G75+H75</f>
        <v>516.39098541666658</v>
      </c>
      <c r="G75" s="21">
        <f t="shared" si="19"/>
        <v>30.280985416666521</v>
      </c>
      <c r="H75" s="21">
        <f t="shared" si="9"/>
        <v>486.11</v>
      </c>
      <c r="I75" s="22">
        <f t="shared" si="17"/>
        <v>5833.3999999999696</v>
      </c>
      <c r="J75" s="3"/>
    </row>
    <row r="76" spans="1:10" ht="14.25" x14ac:dyDescent="0.2">
      <c r="A76" s="23">
        <f t="shared" si="18"/>
        <v>48214</v>
      </c>
      <c r="B76" s="20">
        <f t="shared" si="14"/>
        <v>48214</v>
      </c>
      <c r="C76" s="20">
        <f t="shared" si="15"/>
        <v>2032</v>
      </c>
      <c r="D76" s="20">
        <v>73</v>
      </c>
      <c r="E76" s="21">
        <f t="shared" si="16"/>
        <v>5833.3999999999696</v>
      </c>
      <c r="F76" s="21">
        <f t="shared" si="20"/>
        <v>514.06170833333317</v>
      </c>
      <c r="G76" s="21">
        <f t="shared" si="19"/>
        <v>27.951708333333187</v>
      </c>
      <c r="H76" s="21">
        <f t="shared" si="9"/>
        <v>486.11</v>
      </c>
      <c r="I76" s="22">
        <f t="shared" si="17"/>
        <v>5347.28999999997</v>
      </c>
      <c r="J76" s="3"/>
    </row>
    <row r="77" spans="1:10" ht="14.25" x14ac:dyDescent="0.2">
      <c r="A77" s="23">
        <f t="shared" si="18"/>
        <v>48245</v>
      </c>
      <c r="B77" s="20">
        <f t="shared" si="14"/>
        <v>48245</v>
      </c>
      <c r="C77" s="20">
        <f t="shared" si="15"/>
        <v>2032</v>
      </c>
      <c r="D77" s="20">
        <v>74</v>
      </c>
      <c r="E77" s="21">
        <f t="shared" si="16"/>
        <v>5347.28999999997</v>
      </c>
      <c r="F77" s="21">
        <f t="shared" si="20"/>
        <v>511.73243124999988</v>
      </c>
      <c r="G77" s="21">
        <f t="shared" si="19"/>
        <v>25.62243124999986</v>
      </c>
      <c r="H77" s="21">
        <f t="shared" si="9"/>
        <v>486.11</v>
      </c>
      <c r="I77" s="22">
        <f t="shared" si="17"/>
        <v>4861.1799999999703</v>
      </c>
      <c r="J77" s="3"/>
    </row>
    <row r="78" spans="1:10" ht="14.25" x14ac:dyDescent="0.2">
      <c r="A78" s="23">
        <f t="shared" si="18"/>
        <v>48274</v>
      </c>
      <c r="B78" s="20">
        <f t="shared" si="14"/>
        <v>48274</v>
      </c>
      <c r="C78" s="20">
        <f t="shared" si="15"/>
        <v>2032</v>
      </c>
      <c r="D78" s="20">
        <v>75</v>
      </c>
      <c r="E78" s="21">
        <f t="shared" si="16"/>
        <v>4861.1799999999703</v>
      </c>
      <c r="F78" s="21">
        <f t="shared" si="20"/>
        <v>509.40315416666652</v>
      </c>
      <c r="G78" s="21">
        <f t="shared" si="19"/>
        <v>23.293154166666525</v>
      </c>
      <c r="H78" s="21">
        <f t="shared" si="9"/>
        <v>486.11</v>
      </c>
      <c r="I78" s="22">
        <f t="shared" si="17"/>
        <v>4375.0699999999706</v>
      </c>
      <c r="J78" s="3"/>
    </row>
    <row r="79" spans="1:10" ht="13.5" customHeight="1" x14ac:dyDescent="0.2">
      <c r="A79" s="23">
        <f t="shared" si="18"/>
        <v>48305</v>
      </c>
      <c r="B79" s="20">
        <f t="shared" si="14"/>
        <v>48305</v>
      </c>
      <c r="C79" s="20">
        <f t="shared" si="15"/>
        <v>2032</v>
      </c>
      <c r="D79" s="20">
        <v>76</v>
      </c>
      <c r="E79" s="21">
        <f t="shared" si="16"/>
        <v>4375.0699999999706</v>
      </c>
      <c r="F79" s="21">
        <f t="shared" si="20"/>
        <v>507.07387708333323</v>
      </c>
      <c r="G79" s="21">
        <f t="shared" si="19"/>
        <v>20.963877083333191</v>
      </c>
      <c r="H79" s="21">
        <f t="shared" si="9"/>
        <v>486.11</v>
      </c>
      <c r="I79" s="22">
        <f t="shared" si="17"/>
        <v>3888.9599999999705</v>
      </c>
      <c r="J79" s="3"/>
    </row>
    <row r="80" spans="1:10" ht="13.5" customHeight="1" x14ac:dyDescent="0.2">
      <c r="A80" s="23">
        <f t="shared" si="18"/>
        <v>48335</v>
      </c>
      <c r="B80" s="20">
        <f t="shared" si="14"/>
        <v>48335</v>
      </c>
      <c r="C80" s="20">
        <f t="shared" si="15"/>
        <v>2032</v>
      </c>
      <c r="D80" s="20">
        <v>77</v>
      </c>
      <c r="E80" s="21">
        <f t="shared" si="16"/>
        <v>3888.9599999999705</v>
      </c>
      <c r="F80" s="21">
        <f t="shared" si="20"/>
        <v>504.74459999999988</v>
      </c>
      <c r="G80" s="21">
        <f t="shared" si="19"/>
        <v>18.63459999999986</v>
      </c>
      <c r="H80" s="21">
        <f t="shared" si="9"/>
        <v>486.11</v>
      </c>
      <c r="I80" s="22">
        <f t="shared" si="17"/>
        <v>3402.8499999999704</v>
      </c>
      <c r="J80" s="3"/>
    </row>
    <row r="81" spans="1:10" ht="13.5" customHeight="1" x14ac:dyDescent="0.2">
      <c r="A81" s="23">
        <f t="shared" si="18"/>
        <v>48366</v>
      </c>
      <c r="B81" s="20">
        <f t="shared" si="14"/>
        <v>48366</v>
      </c>
      <c r="C81" s="20">
        <f t="shared" si="15"/>
        <v>2032</v>
      </c>
      <c r="D81" s="20">
        <v>78</v>
      </c>
      <c r="E81" s="21">
        <f t="shared" si="16"/>
        <v>3402.8499999999704</v>
      </c>
      <c r="F81" s="21">
        <f t="shared" si="20"/>
        <v>502.41532291666653</v>
      </c>
      <c r="G81" s="21">
        <f t="shared" si="19"/>
        <v>16.305322916666526</v>
      </c>
      <c r="H81" s="21">
        <f t="shared" ref="H81:H86" si="21">ROUND($E$13*16.6666666666667%/12,2)</f>
        <v>486.11</v>
      </c>
      <c r="I81" s="22">
        <f t="shared" si="17"/>
        <v>2916.7399999999702</v>
      </c>
      <c r="J81" s="3"/>
    </row>
    <row r="82" spans="1:10" ht="13.5" customHeight="1" x14ac:dyDescent="0.2">
      <c r="A82" s="23">
        <f t="shared" si="18"/>
        <v>48396</v>
      </c>
      <c r="B82" s="20">
        <f t="shared" si="14"/>
        <v>48396</v>
      </c>
      <c r="C82" s="20">
        <f t="shared" si="15"/>
        <v>2032</v>
      </c>
      <c r="D82" s="20">
        <v>79</v>
      </c>
      <c r="E82" s="21">
        <f t="shared" si="16"/>
        <v>2916.7399999999702</v>
      </c>
      <c r="F82" s="21">
        <f t="shared" si="20"/>
        <v>500.08604583333323</v>
      </c>
      <c r="G82" s="21">
        <f t="shared" si="19"/>
        <v>13.97604583333319</v>
      </c>
      <c r="H82" s="21">
        <f t="shared" si="21"/>
        <v>486.11</v>
      </c>
      <c r="I82" s="22">
        <f t="shared" si="17"/>
        <v>2430.6299999999701</v>
      </c>
      <c r="J82" s="3"/>
    </row>
    <row r="83" spans="1:10" ht="13.5" customHeight="1" x14ac:dyDescent="0.2">
      <c r="A83" s="23">
        <f t="shared" si="18"/>
        <v>48427</v>
      </c>
      <c r="B83" s="20">
        <f t="shared" si="14"/>
        <v>48427</v>
      </c>
      <c r="C83" s="20">
        <f t="shared" si="15"/>
        <v>2032</v>
      </c>
      <c r="D83" s="20">
        <v>80</v>
      </c>
      <c r="E83" s="21">
        <f t="shared" si="16"/>
        <v>2430.6299999999701</v>
      </c>
      <c r="F83" s="21">
        <f t="shared" si="20"/>
        <v>497.75676874999988</v>
      </c>
      <c r="G83" s="21">
        <f t="shared" si="19"/>
        <v>11.646768749999858</v>
      </c>
      <c r="H83" s="21">
        <f t="shared" si="21"/>
        <v>486.11</v>
      </c>
      <c r="I83" s="22">
        <f t="shared" si="17"/>
        <v>1944.51999999997</v>
      </c>
      <c r="J83" s="3"/>
    </row>
    <row r="84" spans="1:10" ht="13.5" customHeight="1" x14ac:dyDescent="0.2">
      <c r="A84" s="23">
        <f t="shared" si="18"/>
        <v>48458</v>
      </c>
      <c r="B84" s="20">
        <f t="shared" si="14"/>
        <v>48458</v>
      </c>
      <c r="C84" s="20">
        <f t="shared" si="15"/>
        <v>2032</v>
      </c>
      <c r="D84" s="20">
        <v>81</v>
      </c>
      <c r="E84" s="21">
        <f t="shared" si="16"/>
        <v>1944.51999999997</v>
      </c>
      <c r="F84" s="21">
        <f t="shared" si="20"/>
        <v>495.42749166666653</v>
      </c>
      <c r="G84" s="21">
        <f t="shared" si="19"/>
        <v>9.3174916666665233</v>
      </c>
      <c r="H84" s="21">
        <f t="shared" si="21"/>
        <v>486.11</v>
      </c>
      <c r="I84" s="22">
        <f t="shared" si="17"/>
        <v>1458.4099999999698</v>
      </c>
      <c r="J84" s="3"/>
    </row>
    <row r="85" spans="1:10" ht="13.5" customHeight="1" x14ac:dyDescent="0.2">
      <c r="A85" s="23">
        <f t="shared" si="18"/>
        <v>48488</v>
      </c>
      <c r="B85" s="20">
        <f t="shared" si="14"/>
        <v>48488</v>
      </c>
      <c r="C85" s="20">
        <f t="shared" si="15"/>
        <v>2032</v>
      </c>
      <c r="D85" s="20">
        <v>82</v>
      </c>
      <c r="E85" s="21">
        <f t="shared" si="16"/>
        <v>1458.4099999999698</v>
      </c>
      <c r="F85" s="21">
        <f t="shared" si="20"/>
        <v>493.09821458333317</v>
      </c>
      <c r="G85" s="21">
        <f t="shared" si="19"/>
        <v>6.988214583333189</v>
      </c>
      <c r="H85" s="21">
        <f t="shared" si="21"/>
        <v>486.11</v>
      </c>
      <c r="I85" s="22">
        <f t="shared" si="17"/>
        <v>972.29999999996983</v>
      </c>
      <c r="J85" s="3"/>
    </row>
    <row r="86" spans="1:10" ht="13.5" customHeight="1" x14ac:dyDescent="0.2">
      <c r="A86" s="23">
        <f t="shared" si="18"/>
        <v>48519</v>
      </c>
      <c r="B86" s="20">
        <f t="shared" si="14"/>
        <v>48519</v>
      </c>
      <c r="C86" s="20">
        <f t="shared" si="15"/>
        <v>2032</v>
      </c>
      <c r="D86" s="20">
        <v>83</v>
      </c>
      <c r="E86" s="21">
        <f t="shared" si="16"/>
        <v>972.29999999996983</v>
      </c>
      <c r="F86" s="21">
        <f t="shared" si="20"/>
        <v>490.76893749999988</v>
      </c>
      <c r="G86" s="21">
        <f t="shared" si="19"/>
        <v>4.6589374999998556</v>
      </c>
      <c r="H86" s="21">
        <f t="shared" si="21"/>
        <v>486.11</v>
      </c>
      <c r="I86" s="22">
        <f t="shared" si="17"/>
        <v>486.18999999996981</v>
      </c>
      <c r="J86" s="3"/>
    </row>
    <row r="87" spans="1:10" ht="13.5" customHeight="1" thickBot="1" x14ac:dyDescent="0.25">
      <c r="A87" s="24">
        <f t="shared" si="18"/>
        <v>48549</v>
      </c>
      <c r="B87" s="25">
        <f t="shared" si="14"/>
        <v>48549</v>
      </c>
      <c r="C87" s="25">
        <f t="shared" si="15"/>
        <v>2032</v>
      </c>
      <c r="D87" s="25">
        <v>84</v>
      </c>
      <c r="E87" s="26">
        <f t="shared" si="16"/>
        <v>486.18999999996981</v>
      </c>
      <c r="F87" s="26">
        <f t="shared" si="20"/>
        <v>488.51966041663633</v>
      </c>
      <c r="G87" s="26">
        <f t="shared" si="19"/>
        <v>2.3296604166665222</v>
      </c>
      <c r="H87" s="21">
        <f>E87</f>
        <v>486.18999999996981</v>
      </c>
      <c r="I87" s="27">
        <f t="shared" si="17"/>
        <v>0</v>
      </c>
      <c r="J87" s="3"/>
    </row>
    <row r="88" spans="1:10" ht="15" thickBot="1" x14ac:dyDescent="0.25">
      <c r="A88" s="10" t="s">
        <v>10</v>
      </c>
      <c r="B88" s="11"/>
      <c r="C88" s="11"/>
      <c r="D88" s="52"/>
      <c r="E88" s="53"/>
      <c r="F88" s="12">
        <f>SUM(F4:F87)</f>
        <v>43133.867774999962</v>
      </c>
      <c r="G88" s="12">
        <f>SUM(G4:G87)</f>
        <v>8133.8677749999933</v>
      </c>
      <c r="H88" s="12">
        <f>SUM(H4:H87)</f>
        <v>35000</v>
      </c>
      <c r="I88" s="13"/>
      <c r="J88" s="14"/>
    </row>
  </sheetData>
  <sheetProtection algorithmName="SHA-512" hashValue="iJt+xkPgq5NMbySAC11IJSEYp6FfbAFQcuG5FYWs81/rU5TS4/4aY5mfdKXK2qrd7JcPKp9UOiPqVhzxvOBAAw==" saltValue="KomYahtENXUBtvhIvtowlg==" spinCount="100000" sheet="1" objects="1" scenarios="1"/>
  <mergeCells count="15">
    <mergeCell ref="D88:E88"/>
    <mergeCell ref="K14:K29"/>
    <mergeCell ref="K30:K45"/>
    <mergeCell ref="J6:J7"/>
    <mergeCell ref="J11:J13"/>
    <mergeCell ref="A2:D3"/>
    <mergeCell ref="E2:E3"/>
    <mergeCell ref="I2:I3"/>
    <mergeCell ref="A1:J1"/>
    <mergeCell ref="J8:J9"/>
    <mergeCell ref="F2:F3"/>
    <mergeCell ref="J4:J5"/>
    <mergeCell ref="A4:C4"/>
    <mergeCell ref="G2:G3"/>
    <mergeCell ref="H2:H3"/>
  </mergeCells>
  <pageMargins left="0.86614173228346458" right="0.70866141732283472" top="0.55118110236220474" bottom="0.78740157480314965" header="0.19685039370078741" footer="0.31496062992125984"/>
  <pageSetup paperSize="9" scale="65" orientation="portrait" r:id="rId1"/>
  <headerFooter>
    <oddHeader>&amp;L&amp;"Calibri"&amp;8&amp;K000000Helaba – Confidentiality C2 – 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start</vt:lpstr>
    </vt:vector>
  </TitlesOfParts>
  <Manager/>
  <Company>Helaba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HT35773</dc:creator>
  <cp:keywords/>
  <dc:description/>
  <cp:lastModifiedBy>Straschewski, Christian</cp:lastModifiedBy>
  <cp:revision/>
  <dcterms:created xsi:type="dcterms:W3CDTF">2013-11-05T09:33:09Z</dcterms:created>
  <dcterms:modified xsi:type="dcterms:W3CDTF">2025-12-11T11:45:10Z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01B6-D10B-178F-A861</vt:lpwstr>
  </property>
  <property fmtid="{D5CDD505-2E9C-101B-9397-08002B2CF9AE}" pid="3" name="MSIP_Label_31472b75-c5ad-4aeb-acdd-442c1f2868d6_Enabled">
    <vt:lpwstr>true</vt:lpwstr>
  </property>
  <property fmtid="{D5CDD505-2E9C-101B-9397-08002B2CF9AE}" pid="4" name="MSIP_Label_31472b75-c5ad-4aeb-acdd-442c1f2868d6_SetDate">
    <vt:lpwstr>2023-09-04T11:12:59Z</vt:lpwstr>
  </property>
  <property fmtid="{D5CDD505-2E9C-101B-9397-08002B2CF9AE}" pid="5" name="MSIP_Label_31472b75-c5ad-4aeb-acdd-442c1f2868d6_Method">
    <vt:lpwstr>Privileged</vt:lpwstr>
  </property>
  <property fmtid="{D5CDD505-2E9C-101B-9397-08002B2CF9AE}" pid="6" name="MSIP_Label_31472b75-c5ad-4aeb-acdd-442c1f2868d6_Name">
    <vt:lpwstr>C2</vt:lpwstr>
  </property>
  <property fmtid="{D5CDD505-2E9C-101B-9397-08002B2CF9AE}" pid="7" name="MSIP_Label_31472b75-c5ad-4aeb-acdd-442c1f2868d6_SiteId">
    <vt:lpwstr>115d6c2e-8bd5-4b53-8ba7-86a5266426c5</vt:lpwstr>
  </property>
  <property fmtid="{D5CDD505-2E9C-101B-9397-08002B2CF9AE}" pid="8" name="MSIP_Label_31472b75-c5ad-4aeb-acdd-442c1f2868d6_ActionId">
    <vt:lpwstr>a73a3c98-a286-43d1-8f43-1d3ebd38221a</vt:lpwstr>
  </property>
  <property fmtid="{D5CDD505-2E9C-101B-9397-08002B2CF9AE}" pid="9" name="MSIP_Label_31472b75-c5ad-4aeb-acdd-442c1f2868d6_ContentBits">
    <vt:lpwstr>1</vt:lpwstr>
  </property>
</Properties>
</file>